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8\"/>
    </mc:Choice>
  </mc:AlternateContent>
  <bookViews>
    <workbookView xWindow="0" yWindow="0" windowWidth="28800" windowHeight="11835"/>
  </bookViews>
  <sheets>
    <sheet name="8 B001" sheetId="2" r:id="rId1"/>
    <sheet name="8 E001" sheetId="3" r:id="rId2"/>
    <sheet name="8 E003" sheetId="4" r:id="rId3"/>
    <sheet name="8 E006" sheetId="5" r:id="rId4"/>
    <sheet name="8 P001" sheetId="6" r:id="rId5"/>
    <sheet name="8 S240" sheetId="7" r:id="rId6"/>
    <sheet name="8 S257" sheetId="8" r:id="rId7"/>
    <sheet name="8 S259" sheetId="9" r:id="rId8"/>
    <sheet name="8 S260" sheetId="10" r:id="rId9"/>
    <sheet name="8 S261" sheetId="11" r:id="rId10"/>
    <sheet name="8 S262" sheetId="12" r:id="rId11"/>
    <sheet name="8 S263" sheetId="13" r:id="rId12"/>
    <sheet name="8 S266" sheetId="14" r:id="rId13"/>
    <sheet name="8 U002" sheetId="15" r:id="rId14"/>
    <sheet name="8 U004" sheetId="16" r:id="rId15"/>
    <sheet name="8 U009" sheetId="17" r:id="rId16"/>
    <sheet name="8 U013" sheetId="18" r:id="rId17"/>
    <sheet name="8 U017" sheetId="19" r:id="rId18"/>
  </sheets>
  <definedNames>
    <definedName name="_xlnm.Print_Area" localSheetId="0">'8 B001'!$B$1:$U$31</definedName>
    <definedName name="_xlnm.Print_Area" localSheetId="1">'8 E001'!$B$1:$U$43</definedName>
    <definedName name="_xlnm.Print_Area" localSheetId="2">'8 E003'!$B$1:$U$43</definedName>
    <definedName name="_xlnm.Print_Area" localSheetId="3">'8 E006'!$B$1:$U$65</definedName>
    <definedName name="_xlnm.Print_Area" localSheetId="4">'8 P001'!$B$1:$U$33</definedName>
    <definedName name="_xlnm.Print_Area" localSheetId="5">'8 S240'!$B$1:$U$59</definedName>
    <definedName name="_xlnm.Print_Area" localSheetId="6">'8 S257'!$B$1:$U$59</definedName>
    <definedName name="_xlnm.Print_Area" localSheetId="7">'8 S259'!$B$1:$U$71</definedName>
    <definedName name="_xlnm.Print_Area" localSheetId="8">'8 S260'!$B$1:$U$47</definedName>
    <definedName name="_xlnm.Print_Area" localSheetId="9">'8 S261'!$B$1:$U$81</definedName>
    <definedName name="_xlnm.Print_Area" localSheetId="10">'8 S262'!$B$1:$U$65</definedName>
    <definedName name="_xlnm.Print_Area" localSheetId="11">'8 S263'!$B$1:$U$73</definedName>
    <definedName name="_xlnm.Print_Area" localSheetId="12">'8 S266'!$B$1:$U$93</definedName>
    <definedName name="_xlnm.Print_Area" localSheetId="13">'8 U002'!$B$1:$U$65</definedName>
    <definedName name="_xlnm.Print_Area" localSheetId="14">'8 U004'!$B$1:$U$37</definedName>
    <definedName name="_xlnm.Print_Area" localSheetId="15">'8 U009'!$B$1:$U$31</definedName>
    <definedName name="_xlnm.Print_Area" localSheetId="16">'8 U013'!$B$1:$U$41</definedName>
    <definedName name="_xlnm.Print_Area" localSheetId="17">'8 U017'!$B$1:$U$77</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S259'!$1:$4</definedName>
    <definedName name="_xlnm.Print_Titles" localSheetId="8">'8 S260'!$1:$4</definedName>
    <definedName name="_xlnm.Print_Titles" localSheetId="9">'8 S261'!$1:$4</definedName>
    <definedName name="_xlnm.Print_Titles" localSheetId="10">'8 S262'!$1:$4</definedName>
    <definedName name="_xlnm.Print_Titles" localSheetId="11">'8 S263'!$1:$4</definedName>
    <definedName name="_xlnm.Print_Titles" localSheetId="12">'8 S266'!$1:$4</definedName>
    <definedName name="_xlnm.Print_Titles" localSheetId="13">'8 U002'!$1:$4</definedName>
    <definedName name="_xlnm.Print_Titles" localSheetId="14">'8 U004'!$1:$4</definedName>
    <definedName name="_xlnm.Print_Titles" localSheetId="15">'8 U009'!$1:$4</definedName>
    <definedName name="_xlnm.Print_Titles" localSheetId="16">'8 U013'!$1:$4</definedName>
    <definedName name="_xlnm.Print_Titles" localSheetId="17">'8 U017'!$1:$4</definedName>
  </definedNames>
  <calcPr calcId="152511"/>
</workbook>
</file>

<file path=xl/calcChain.xml><?xml version="1.0" encoding="utf-8"?>
<calcChain xmlns="http://schemas.openxmlformats.org/spreadsheetml/2006/main">
  <c r="T43" i="19" l="1"/>
  <c r="U43" i="19" s="1"/>
  <c r="S43" i="19"/>
  <c r="R43" i="19"/>
  <c r="T42" i="19"/>
  <c r="U42" i="19" s="1"/>
  <c r="S42" i="19"/>
  <c r="R42"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25" i="18"/>
  <c r="U25" i="18" s="1"/>
  <c r="S25" i="18"/>
  <c r="R25" i="18"/>
  <c r="T24" i="18"/>
  <c r="U24" i="18" s="1"/>
  <c r="S24" i="18"/>
  <c r="R24" i="18"/>
  <c r="U20" i="18"/>
  <c r="U19" i="18"/>
  <c r="U18" i="18"/>
  <c r="U17" i="18"/>
  <c r="U16" i="18"/>
  <c r="U15" i="18"/>
  <c r="U14" i="18"/>
  <c r="U13" i="18"/>
  <c r="U12" i="18"/>
  <c r="U11" i="18"/>
  <c r="U20" i="17"/>
  <c r="T20" i="17"/>
  <c r="S20" i="17"/>
  <c r="R20" i="17"/>
  <c r="T19" i="17"/>
  <c r="U19" i="17" s="1"/>
  <c r="S19" i="17"/>
  <c r="R19" i="17"/>
  <c r="U15" i="17"/>
  <c r="U14" i="17"/>
  <c r="U13" i="17"/>
  <c r="U12" i="17"/>
  <c r="U11" i="17"/>
  <c r="T23" i="16"/>
  <c r="U23" i="16" s="1"/>
  <c r="S23" i="16"/>
  <c r="R23" i="16"/>
  <c r="T22" i="16"/>
  <c r="S22" i="16"/>
  <c r="U22" i="16" s="1"/>
  <c r="R22" i="16"/>
  <c r="U18" i="16"/>
  <c r="U17" i="16"/>
  <c r="U16" i="16"/>
  <c r="U15" i="16"/>
  <c r="U14" i="16"/>
  <c r="U13" i="16"/>
  <c r="U12" i="16"/>
  <c r="U11" i="16"/>
  <c r="T37" i="15"/>
  <c r="S37" i="15"/>
  <c r="U37" i="15" s="1"/>
  <c r="R37" i="15"/>
  <c r="U36" i="15"/>
  <c r="T36" i="15"/>
  <c r="S36" i="15"/>
  <c r="R36" i="15"/>
  <c r="U32" i="15"/>
  <c r="U31" i="15"/>
  <c r="U30" i="15"/>
  <c r="U29" i="15"/>
  <c r="U28" i="15"/>
  <c r="U27" i="15"/>
  <c r="U26" i="15"/>
  <c r="U25" i="15"/>
  <c r="U24" i="15"/>
  <c r="U23" i="15"/>
  <c r="U22" i="15"/>
  <c r="U21" i="15"/>
  <c r="U20" i="15"/>
  <c r="U19" i="15"/>
  <c r="U18" i="15"/>
  <c r="U17" i="15"/>
  <c r="U16" i="15"/>
  <c r="U15" i="15"/>
  <c r="U14" i="15"/>
  <c r="U13" i="15"/>
  <c r="U12" i="15"/>
  <c r="U11" i="15"/>
  <c r="T51" i="14"/>
  <c r="U51" i="14" s="1"/>
  <c r="S51" i="14"/>
  <c r="R51" i="14"/>
  <c r="U50" i="14"/>
  <c r="T50" i="14"/>
  <c r="S50" i="14"/>
  <c r="R50" i="14"/>
  <c r="U46" i="14"/>
  <c r="U45" i="14"/>
  <c r="U44"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T41" i="13"/>
  <c r="S41" i="13"/>
  <c r="U41" i="13" s="1"/>
  <c r="R41" i="13"/>
  <c r="T40" i="13"/>
  <c r="U40" i="13" s="1"/>
  <c r="S40" i="13"/>
  <c r="R40"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37" i="12"/>
  <c r="T37" i="12"/>
  <c r="S37" i="12"/>
  <c r="R37" i="12"/>
  <c r="U36" i="12"/>
  <c r="T36" i="12"/>
  <c r="S36" i="12"/>
  <c r="R36" i="12"/>
  <c r="U32" i="12"/>
  <c r="U31" i="12"/>
  <c r="U30" i="12"/>
  <c r="U29" i="12"/>
  <c r="U28" i="12"/>
  <c r="U27" i="12"/>
  <c r="U26" i="12"/>
  <c r="U25" i="12"/>
  <c r="U24" i="12"/>
  <c r="U23" i="12"/>
  <c r="U22" i="12"/>
  <c r="U21" i="12"/>
  <c r="U20" i="12"/>
  <c r="U19" i="12"/>
  <c r="U18" i="12"/>
  <c r="U17" i="12"/>
  <c r="U16" i="12"/>
  <c r="U15" i="12"/>
  <c r="U14" i="12"/>
  <c r="U13" i="12"/>
  <c r="U12" i="12"/>
  <c r="U11" i="12"/>
  <c r="T45" i="11"/>
  <c r="U45" i="11" s="1"/>
  <c r="S45" i="11"/>
  <c r="R45" i="11"/>
  <c r="U44" i="11"/>
  <c r="T44" i="11"/>
  <c r="S44" i="11"/>
  <c r="R44"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T28" i="10"/>
  <c r="S28" i="10"/>
  <c r="U28" i="10" s="1"/>
  <c r="R28" i="10"/>
  <c r="U27" i="10"/>
  <c r="T27" i="10"/>
  <c r="S27" i="10"/>
  <c r="R27" i="10"/>
  <c r="U23" i="10"/>
  <c r="U22" i="10"/>
  <c r="U21" i="10"/>
  <c r="U20" i="10"/>
  <c r="U19" i="10"/>
  <c r="U18" i="10"/>
  <c r="U17" i="10"/>
  <c r="U16" i="10"/>
  <c r="U15" i="10"/>
  <c r="U14" i="10"/>
  <c r="U13" i="10"/>
  <c r="U12" i="10"/>
  <c r="U11" i="10"/>
  <c r="T40" i="9"/>
  <c r="U40" i="9" s="1"/>
  <c r="S40" i="9"/>
  <c r="R40" i="9"/>
  <c r="T39" i="9"/>
  <c r="U39" i="9" s="1"/>
  <c r="S39" i="9"/>
  <c r="R39" i="9"/>
  <c r="U35" i="9"/>
  <c r="U34" i="9"/>
  <c r="U33" i="9"/>
  <c r="U32" i="9"/>
  <c r="U31" i="9"/>
  <c r="U30" i="9"/>
  <c r="U29" i="9"/>
  <c r="U28" i="9"/>
  <c r="U27" i="9"/>
  <c r="U26" i="9"/>
  <c r="U25" i="9"/>
  <c r="U24" i="9"/>
  <c r="U23" i="9"/>
  <c r="U22" i="9"/>
  <c r="U21" i="9"/>
  <c r="U20" i="9"/>
  <c r="U19" i="9"/>
  <c r="U18" i="9"/>
  <c r="U17" i="9"/>
  <c r="U16" i="9"/>
  <c r="U15" i="9"/>
  <c r="U14" i="9"/>
  <c r="U13" i="9"/>
  <c r="U12" i="9"/>
  <c r="U11" i="9"/>
  <c r="T34" i="8"/>
  <c r="S34" i="8"/>
  <c r="U34" i="8" s="1"/>
  <c r="R34" i="8"/>
  <c r="T33" i="8"/>
  <c r="U33" i="8" s="1"/>
  <c r="S33" i="8"/>
  <c r="R33" i="8"/>
  <c r="U29" i="8"/>
  <c r="U28" i="8"/>
  <c r="U27" i="8"/>
  <c r="U26" i="8"/>
  <c r="U25"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T21" i="6"/>
  <c r="S21" i="6"/>
  <c r="U21" i="6" s="1"/>
  <c r="R21" i="6"/>
  <c r="U20" i="6"/>
  <c r="T20" i="6"/>
  <c r="S20" i="6"/>
  <c r="R20" i="6"/>
  <c r="U16" i="6"/>
  <c r="U15" i="6"/>
  <c r="U14" i="6"/>
  <c r="U13" i="6"/>
  <c r="U12" i="6"/>
  <c r="U11" i="6"/>
  <c r="U37" i="5"/>
  <c r="T37" i="5"/>
  <c r="S37" i="5"/>
  <c r="R37" i="5"/>
  <c r="T36" i="5"/>
  <c r="S36" i="5"/>
  <c r="U36" i="5" s="1"/>
  <c r="R36" i="5"/>
  <c r="U32" i="5"/>
  <c r="U31" i="5"/>
  <c r="U30" i="5"/>
  <c r="U29" i="5"/>
  <c r="U28" i="5"/>
  <c r="U27" i="5"/>
  <c r="U26" i="5"/>
  <c r="U25" i="5"/>
  <c r="U24" i="5"/>
  <c r="U23" i="5"/>
  <c r="U22" i="5"/>
  <c r="U21" i="5"/>
  <c r="U20" i="5"/>
  <c r="U19" i="5"/>
  <c r="U18" i="5"/>
  <c r="U17" i="5"/>
  <c r="U16" i="5"/>
  <c r="U15" i="5"/>
  <c r="U14" i="5"/>
  <c r="U13" i="5"/>
  <c r="U12" i="5"/>
  <c r="U11" i="5"/>
  <c r="U26" i="4"/>
  <c r="T26" i="4"/>
  <c r="S26" i="4"/>
  <c r="R26" i="4"/>
  <c r="T25" i="4"/>
  <c r="S25" i="4"/>
  <c r="U25" i="4" s="1"/>
  <c r="R25" i="4"/>
  <c r="U21" i="4"/>
  <c r="U20" i="4"/>
  <c r="U19" i="4"/>
  <c r="U18" i="4"/>
  <c r="U17" i="4"/>
  <c r="U16" i="4"/>
  <c r="U15" i="4"/>
  <c r="U14" i="4"/>
  <c r="U13" i="4"/>
  <c r="U12" i="4"/>
  <c r="U11" i="4"/>
  <c r="T26" i="3"/>
  <c r="U26" i="3" s="1"/>
  <c r="S26" i="3"/>
  <c r="R26" i="3"/>
  <c r="T25" i="3"/>
  <c r="U25" i="3" s="1"/>
  <c r="S25" i="3"/>
  <c r="R25" i="3"/>
  <c r="U21" i="3"/>
  <c r="U20" i="3"/>
  <c r="U19" i="3"/>
  <c r="U18" i="3"/>
  <c r="U17" i="3"/>
  <c r="U16" i="3"/>
  <c r="U15" i="3"/>
  <c r="U14" i="3"/>
  <c r="U13" i="3"/>
  <c r="U12" i="3"/>
  <c r="U11" i="3"/>
  <c r="T20" i="2"/>
  <c r="U20" i="2" s="1"/>
  <c r="S20" i="2"/>
  <c r="R20" i="2"/>
  <c r="U19" i="2"/>
  <c r="T19" i="2"/>
  <c r="S19" i="2"/>
  <c r="R19" i="2"/>
  <c r="U15" i="2"/>
  <c r="U14" i="2"/>
  <c r="U13" i="2"/>
  <c r="U12" i="2"/>
  <c r="U11" i="2"/>
</calcChain>
</file>

<file path=xl/sharedStrings.xml><?xml version="1.0" encoding="utf-8"?>
<sst xmlns="http://schemas.openxmlformats.org/spreadsheetml/2006/main" count="3392" uniqueCount="1299">
  <si>
    <t>Informes sobre la Situación Económica,
las Finanzas Públicas y la Deuda Pública</t>
  </si>
  <si>
    <t xml:space="preserve">      Tercer Trimestre 2018</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</si>
  <si>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</si>
  <si>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</si>
  <si>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</si>
  <si>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</si>
  <si>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</si>
  <si>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</si>
  <si>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</si>
  <si>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</si>
  <si>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</si>
  <si>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</si>
  <si>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</si>
  <si>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</si>
  <si>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</si>
  <si>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</si>
  <si>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</si>
  <si>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</si>
  <si>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</si>
  <si>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</si>
  <si>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</si>
  <si>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</si>
  <si>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</si>
  <si>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</si>
  <si>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</si>
  <si>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</si>
  <si>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</si>
  <si>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</si>
  <si>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</si>
  <si>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</si>
  <si>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</si>
  <si>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</si>
  <si>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</si>
  <si>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</si>
  <si>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</si>
  <si>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</si>
  <si>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</si>
  <si>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</si>
  <si>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</si>
  <si>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</si>
  <si>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</si>
  <si>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Estratégico-Eficacia-Anual</t>
  </si>
  <si>
    <t>N/A</t>
  </si>
  <si>
    <t/>
  </si>
  <si>
    <t>El cálculo se hace dividiendo el promedio anual del producto interno bruto del sector agropecuario reportado por el INEGI, entre el número promedio anual de personas ocupadas en el sector de acuerdo con los datos reportados en la ENOE del INEGI</t>
  </si>
  <si>
    <t>Pesos del 2008</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</si>
  <si>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</si>
  <si>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</si>
  <si>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</si>
  <si>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</si>
  <si>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</si>
  <si>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</si>
  <si>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</si>
  <si>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</si>
  <si>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</si>
  <si>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</si>
  <si>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</si>
  <si>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</si>
  <si>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</si>
  <si>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</si>
  <si>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</si>
  <si>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</si>
  <si>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</si>
  <si>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</si>
  <si>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</si>
  <si>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</si>
  <si>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</si>
  <si>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</si>
  <si>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</si>
  <si>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</si>
  <si>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</si>
  <si>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</si>
  <si>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Porcentaje de pruebas de diagnóstico comercializadas por PRONABIVE
</t>
    </r>
    <r>
      <rPr>
        <sz val="10"/>
        <rFont val="Soberana Sans"/>
        <family val="2"/>
      </rPr>
      <t>Sin Información,Sin Justificación</t>
    </r>
  </si>
  <si>
    <r>
      <t xml:space="preserve">Productividad laboral en el sector agropecuario y pesquero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</si>
  <si>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</si>
  <si>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Los recursos para la operación de las campañas zoosanitarias implementadas por la SAGARPA se han liberado de forma paulatina, debido a lo anterior durante el periodo enero - septiembre de 2018 la demanda de biológicos veterinarios no se ha comportado de acuerdo a lo programado, pero las expectativas son las de un cierre en donde se alcancen las metas de producción programadas.      Efecto: Disminución de los ingresos por venta de bienes como consecuencia de la baja en la demanda de los productos elaborados por PRONABIVE.      Otros Motivos:</t>
    </r>
  </si>
  <si>
    <r>
      <t xml:space="preserve">Porcentaje de lotes conformes
</t>
    </r>
    <r>
      <rPr>
        <sz val="10"/>
        <rFont val="Soberana Sans"/>
        <family val="2"/>
      </rPr>
      <t xml:space="preserve"> Causa : La meta programada no se alcanza debido a que en este periodo se produjeron menos lotes, derivado de la adquisición de nuevos equipos que incrementaron la capacidad instalada, con lo que se logró producir un mayor número de piezas por lote, siendo innecesario generar más lotes.     Efecto: Ahorro de recursos presupuestales como consecuencia de elaborar menos lotes con mayor número de piezas cada uno, ya que esto conlleva la realización de un menor número de pruebas de control de calidad.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</si>
  <si>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</si>
  <si>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</si>
  <si>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</si>
  <si>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</si>
  <si>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</si>
  <si>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</si>
  <si>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</si>
  <si>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</si>
  <si>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</si>
  <si>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</si>
  <si>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</si>
  <si>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</si>
  <si>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</si>
  <si>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A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</si>
  <si>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</si>
  <si>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</si>
  <si>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Estratégico-Eficacia-Semestral</t>
  </si>
  <si>
    <t>B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</si>
  <si>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</si>
  <si>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de educación media superior y superior del sector agropecuario en el año t)*100</t>
  </si>
  <si>
    <t>C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</si>
  <si>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</si>
  <si>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</si>
  <si>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D C1. Artículos científicos y de divulgación derivados de la investigación, publicados en revistas con Comité Editorial.</t>
  </si>
  <si>
    <r>
      <t>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</si>
  <si>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</si>
  <si>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A 1 A2.C2. Cumplimiento de los programas de vinculación</t>
  </si>
  <si>
    <r>
      <t xml:space="preserve">A2.C2 Porcentaje de programas de vinculación cumplidos </t>
    </r>
    <r>
      <rPr>
        <i/>
        <sz val="10"/>
        <color indexed="30"/>
        <rFont val="Soberana Sans"/>
      </rPr>
      <t xml:space="preserve">
</t>
    </r>
  </si>
  <si>
    <t>(Número de programas de vinculación cumplidos en el año t /Número de programas de vinculación planeados en el año t)*100</t>
  </si>
  <si>
    <t>Gestión-Eficacia-Anual</t>
  </si>
  <si>
    <t>B 2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</si>
  <si>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</si>
  <si>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</si>
  <si>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t>C 3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</si>
  <si>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</si>
  <si>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</si>
  <si>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D 4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</si>
  <si>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</si>
  <si>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</si>
  <si>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Gestión-Eficacia-Semestral</t>
  </si>
  <si>
    <r>
      <t xml:space="preserve">P1.1 Porcentaje de técnicos y profesionistas egresados con calificación igual o superior a 8.5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</si>
  <si>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</si>
  <si>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 xml:space="preserve"> Causa : Disponibilidad presupuestal oportuna para la realización de los cursos de capacitación, que tienen buena aceptación y demanda por parte de los productores y técnicos, dada la actualización potencial que representa  los cursos que imparte el COLPOS.   Efecto: Incremento en la transferencia de conocimientos, que propicia el mayor desarrollo de capacidades de la población en el sector rural, en pro del establecimiento del extensionismo en las zonas de influencia.   Otros Motivos:</t>
    </r>
  </si>
  <si>
    <r>
      <t xml:space="preserve">C3.Porcentaje de estudiantes becados de educación media superior y superior del sector agropecuario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</si>
  <si>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</si>
  <si>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C1. Porcentaje de artículos de investigación publicados en revistas con Comité Editorial.
</t>
    </r>
    <r>
      <rPr>
        <sz val="10"/>
        <rFont val="Soberana Sans"/>
        <family val="2"/>
      </rPr>
      <t xml:space="preserve"> Causa : La diferencia de la meta alcanzada, con respecto a la programada en el semestre, es de 0.54 puntos porcentuales, derivada de la publicación de 3 artículos más de lo programado, producto de Investigaciones interdisciplinarias con una mayor generación de resultados y conocimientos.   Efecto: Incremento en la productividad de documentos científicos, que impactan en la enseñanza e investigación subsecuente en Ciencias Agrícolas, Pecuarias, Forestales y Acuícolas.   Otros Motivos:</t>
    </r>
  </si>
  <si>
    <r>
      <t xml:space="preserve">A2.C2 Porcentaje de programas de vinculación cumplidos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</si>
  <si>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</si>
  <si>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</si>
  <si>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A1.C1 Porcentaje de proyectos de investigación de las LGAC-CP
</t>
    </r>
    <r>
      <rPr>
        <sz val="10"/>
        <rFont val="Soberana Sans"/>
        <family val="2"/>
      </rPr>
      <t xml:space="preserve"> Causa : La meta fue superada, producto de la conformación de la Matriz de Investigación Institucional, la cual se alineó con las Líneas de Generación y/o Aplicación del Conocimiento (LGAC) y registro de las mismas en el Programa Nacional de Posgrados de Calidad del CONACYT.   Efecto: Registro de proyectos dentro de las LGAC, en las diferentes áreas del conocimiento  de los Posgrados Institucionales, asociados a las investigaciones de nivel Maestría y Doctorado en Ciencias.   Otros Motivos:</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</si>
  <si>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</si>
  <si>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</si>
  <si>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</si>
  <si>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</si>
  <si>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</si>
  <si>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</si>
  <si>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</si>
  <si>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</si>
  <si>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</si>
  <si>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</si>
  <si>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</si>
  <si>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t>A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</si>
  <si>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</si>
  <si>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</si>
  <si>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</si>
  <si>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</si>
  <si>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</si>
  <si>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</si>
  <si>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</si>
  <si>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</si>
  <si>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D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</si>
  <si>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</si>
  <si>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</si>
  <si>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A 1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</si>
  <si>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</si>
  <si>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</si>
  <si>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A 2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</si>
  <si>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</si>
  <si>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</si>
  <si>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t>B 3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</si>
  <si>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</si>
  <si>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</si>
  <si>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4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</si>
  <si>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</si>
  <si>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</si>
  <si>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</si>
  <si>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</si>
  <si>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Sin Información,Sin Justificación</t>
    </r>
  </si>
  <si>
    <r>
      <t xml:space="preserve">C2. Tasa de variación de artículos científicos publicados y registrados para su publicación en revistas con Comité Editorial en el año t con respecto al año t-1
</t>
    </r>
    <r>
      <rPr>
        <sz val="10"/>
        <rFont val="Soberana Sans"/>
        <family val="2"/>
      </rPr>
      <t>Sin Información,Sin Justificación</t>
    </r>
  </si>
  <si>
    <r>
      <t xml:space="preserve">C1. Tasa de variación de innovaciones tecnológicas (títulos de obtentor de variedades y patentes) generadas en el año t con respecto al año t-1
</t>
    </r>
    <r>
      <rPr>
        <sz val="10"/>
        <rFont val="Soberana Sans"/>
        <family val="2"/>
      </rPr>
      <t>Sin Información,Sin Justificación</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</si>
  <si>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</si>
  <si>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A1-C3. Tasa de variación de proyectos de investigación vinculados con instituciones externas a la universidad generados en el año t respecto al año t-1
</t>
    </r>
    <r>
      <rPr>
        <sz val="10"/>
        <rFont val="Soberana Sans"/>
        <family val="2"/>
      </rPr>
      <t>Sin Información,Sin Justificación</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</si>
  <si>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</si>
  <si>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</si>
  <si>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 xml:space="preserve"> Causa : Para el mes de junio no se programó meta, derivado de que para este periodo no se cuenta con un avance significativo. Efecto: Sin efectos Otros Motivos:</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</si>
  <si>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</si>
  <si>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</si>
  <si>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</si>
  <si>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</si>
  <si>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</si>
  <si>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</si>
  <si>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</si>
  <si>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</si>
  <si>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</si>
  <si>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cambio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</si>
  <si>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</si>
  <si>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t>
  </si>
  <si>
    <t>Los sectores acuícola, forestal, agrícola, pecuario y pesquero cuentan con soluciones tecnológicas en sus procesos productivos</t>
  </si>
  <si>
    <r>
      <t>P1.2. Porcentaje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</si>
  <si>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/Número de Distritos de Desarrollo Rural en el país) *100</t>
  </si>
  <si>
    <r>
      <t>P1.1 Porcentaje de tecnologías adoptadas por productores y usuarios vinculados con los sectores forestal, agrícola y pecuario en el año tn,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</si>
  <si>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sectores forestal, agrícola y pecuario en el año tn / Número de tecnologías generadas en el año tn-4)*100</t>
  </si>
  <si>
    <r>
      <t>P1.3  Porcentaje de Planes de Manejo Pesquero elaborados que integran soluciones tecnológicas</t>
    </r>
    <r>
      <rPr>
        <i/>
        <sz val="10"/>
        <color indexed="30"/>
        <rFont val="Soberana Sans"/>
      </rPr>
      <t xml:space="preserve">
</t>
    </r>
  </si>
  <si>
    <t>(Número de Planes de Manejo Pesquero elaborados que integran soluciones tecnológicas / Número Total de  Planes de Manejo Pesquero programados)*100</t>
  </si>
  <si>
    <t>A C1. Porcentaje de tecnologías forestales, agrícolas y pecuarias generadas en el año tn</t>
  </si>
  <si>
    <r>
      <t>C1.Porcentaje de tecnologías forestales, agrícolas y pecuarias generadas con respecto a las tecnologías generadas en el año tn-4</t>
    </r>
    <r>
      <rPr>
        <i/>
        <sz val="10"/>
        <color indexed="30"/>
        <rFont val="Soberana Sans"/>
      </rPr>
      <t xml:space="preserve">
</t>
    </r>
  </si>
  <si>
    <t>(Número de tecnologías forestales, agrícolas y pecuarias, generadas en el año tn/Número de tecnologías forestales, agrícolas y pecuarias generadas en el año tn-4) *100</t>
  </si>
  <si>
    <t>B C2.Tecnologías transferidas a los productores forestales y agropecuarios</t>
  </si>
  <si>
    <r>
      <t>C2.Porcentaje de tecnologías transferidas a los productores y/o usuarios vinculados con los sectores forestal, agrícola y pecuario en el año tn con respecto de las tecnologías validadas el año  tn-1</t>
    </r>
    <r>
      <rPr>
        <i/>
        <sz val="10"/>
        <color indexed="30"/>
        <rFont val="Soberana Sans"/>
      </rPr>
      <t xml:space="preserve">
</t>
    </r>
  </si>
  <si>
    <t>(Número de tecnologías transferidas en el año tn / Número de tecnologías validadas en el año tn-1)*100</t>
  </si>
  <si>
    <t>C C4. Carta Nacional Pesquera concluída</t>
  </si>
  <si>
    <r>
      <t>C4. Porcentaje de avance en la elaboración de la Carta Nacional Pesquera</t>
    </r>
    <r>
      <rPr>
        <i/>
        <sz val="10"/>
        <color indexed="30"/>
        <rFont val="Soberana Sans"/>
      </rPr>
      <t xml:space="preserve">
</t>
    </r>
  </si>
  <si>
    <t>(Número de actividades concluidas del plan de trabajo/ Número de actividades programadas del plan de trabajo)*100</t>
  </si>
  <si>
    <t>D C3. Instrumentos científicos y técnicos elaborados que promuevan el aprovechamiento sustentable de los recursos pesqueros y acuícolas.</t>
  </si>
  <si>
    <r>
      <t>C3. Porcentaje de opiniones y dictámenes técnicos que promuevan el aprovechamiento sustentable de los recursos pesqueros y acuícolas.</t>
    </r>
    <r>
      <rPr>
        <i/>
        <sz val="10"/>
        <color indexed="30"/>
        <rFont val="Soberana Sans"/>
      </rPr>
      <t xml:space="preserve">
</t>
    </r>
  </si>
  <si>
    <t>(Número de opiniones y dictámenes técnicos emitidos/Número de opiniones y dictámenes técnicos solicitados que promuevan el aprovechamiento sustentable de los recursos pesqueros y acuícolas)*100</t>
  </si>
  <si>
    <t>E C5. Carta Nacional Acuícola concluída</t>
  </si>
  <si>
    <r>
      <t>C5. Porcentaje de avance en la elaboración de la Carta Nacional Acuícola</t>
    </r>
    <r>
      <rPr>
        <i/>
        <sz val="10"/>
        <color indexed="30"/>
        <rFont val="Soberana Sans"/>
      </rPr>
      <t xml:space="preserve">
</t>
    </r>
  </si>
  <si>
    <t>F C6. Capacitaciones realizadas</t>
  </si>
  <si>
    <r>
      <t>C6.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</si>
  <si>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Numero total de capacitaciones realizadas)*100</t>
  </si>
  <si>
    <t>A 1 A1. C1 Generación y documentación de nuevos conocimientos</t>
  </si>
  <si>
    <r>
      <t>A1.C1. Promedio de artículos científicos publicados por investigador en activo en el año tn</t>
    </r>
    <r>
      <rPr>
        <i/>
        <sz val="10"/>
        <color indexed="30"/>
        <rFont val="Soberana Sans"/>
      </rPr>
      <t xml:space="preserve">
</t>
    </r>
  </si>
  <si>
    <t>(Número de artículos científicos con arbitraje publicados en el año tn/Número total de investigadores en activo en el año tn)</t>
  </si>
  <si>
    <t>Promedio</t>
  </si>
  <si>
    <t>Gestión-Eficiencia-Semestral</t>
  </si>
  <si>
    <t>A 2 A2.C1. Validación de tecnologías con productores y usuarios de los sectores forestales, agrícolas y pecuarias</t>
  </si>
  <si>
    <r>
      <t xml:space="preserve"> A2.C1. Porcentaje de tecnologías validadas en el año tn con respecto de las tecnologías generadas el año tn-1</t>
    </r>
    <r>
      <rPr>
        <i/>
        <sz val="10"/>
        <color indexed="30"/>
        <rFont val="Soberana Sans"/>
      </rPr>
      <t xml:space="preserve">
</t>
    </r>
  </si>
  <si>
    <t>(Número de tecnologías validadas en el año tn / Número de tecnologías generadas en el año tn-1)*100</t>
  </si>
  <si>
    <t>A 3 A3. C1. Elaboración de publicaciones tecnológicas</t>
  </si>
  <si>
    <r>
      <t>A3.C1 Promedio de publicaciones tecnológicas por investigador en activo en el año tn</t>
    </r>
    <r>
      <rPr>
        <i/>
        <sz val="10"/>
        <color indexed="30"/>
        <rFont val="Soberana Sans"/>
      </rPr>
      <t xml:space="preserve">
</t>
    </r>
  </si>
  <si>
    <t>(Número de publicaciones tecnológicas en el año tn/Número total de investigadores en activo en el año tn)</t>
  </si>
  <si>
    <t>B 4 A4. C2. Capacitación a productores y técnicos a través de cursos, talleres y eventos de difusión</t>
  </si>
  <si>
    <r>
      <t>A4.C2.Promedio de cursos, talleres, eventos demostrativos y foros de divulgación impartidos por investigador en activo en el año tn</t>
    </r>
    <r>
      <rPr>
        <i/>
        <sz val="10"/>
        <color indexed="30"/>
        <rFont val="Soberana Sans"/>
      </rPr>
      <t xml:space="preserve">
</t>
    </r>
  </si>
  <si>
    <t>(Número de cursos, talleres, eventos demostrativos y foros de divulgación impartidos por investigador en el año tn/ Número total de investigadores en activo en el año tn)</t>
  </si>
  <si>
    <t>Gestión-Eficiencia-Trimestral</t>
  </si>
  <si>
    <t>B 5 A5. C2. Capacitación y formación de profesionistas en temas prioritarios del sector agrícola, pecuario y/o forestal</t>
  </si>
  <si>
    <r>
      <t>A5.C2. Promedio de profesionistas del sector atendidos por investigador en activo en el año tn</t>
    </r>
    <r>
      <rPr>
        <i/>
        <sz val="10"/>
        <color indexed="30"/>
        <rFont val="Soberana Sans"/>
      </rPr>
      <t xml:space="preserve">
</t>
    </r>
  </si>
  <si>
    <t>(Número de profesionistas del sector atendidos en el año tn/Número de investigadores en activo en el año tn)</t>
  </si>
  <si>
    <t>B 6 A6.C2. Capacitación de personal</t>
  </si>
  <si>
    <r>
      <t>A6.C2. Porcentaje total de personal del Instituto Nacional de Investigaciones Forestales, Agrícolas y Pecuarias que se capacita en el año tn</t>
    </r>
    <r>
      <rPr>
        <i/>
        <sz val="10"/>
        <color indexed="30"/>
        <rFont val="Soberana Sans"/>
      </rPr>
      <t xml:space="preserve">
</t>
    </r>
  </si>
  <si>
    <t>(Número de personas capacitadas en el año tn/ Número total de personal en activo en el año tn)*100</t>
  </si>
  <si>
    <t>C 7 A8.C4. Elaboración de las Fichas de la Carta Nacional Pesquera</t>
  </si>
  <si>
    <r>
      <t>A8. C4 Porcentaje de avance en la elaboración de las fichas de la Carta Nacional Pesquera</t>
    </r>
    <r>
      <rPr>
        <i/>
        <sz val="10"/>
        <color indexed="30"/>
        <rFont val="Soberana Sans"/>
      </rPr>
      <t xml:space="preserve">
</t>
    </r>
  </si>
  <si>
    <t>(Promedio del porcentaje de avance en la elaboración de las fichas de la Carta Nacional Pesquera / Número de fichas de la Carta Nacional Pesquera comprometidas) x 100</t>
  </si>
  <si>
    <t>D 8 A7.C3. Elaboración de Informes de Investigaciones Científicas y Técnicas que promueven el desarrollo y la innovación tecnológica</t>
  </si>
  <si>
    <r>
      <t>A7.C3. Porcentaje de informes elaborados de investigaciones que promueven el desarrollo y la innovación tecnológica</t>
    </r>
    <r>
      <rPr>
        <i/>
        <sz val="10"/>
        <color indexed="30"/>
        <rFont val="Soberana Sans"/>
      </rPr>
      <t xml:space="preserve">
</t>
    </r>
  </si>
  <si>
    <t>(Número de informes de investigaciones que promueven el desarrollo y la innovación tecnológica/Numero de informes de investigaciones científicas y técnicas programadas)*100</t>
  </si>
  <si>
    <t>E 9 A9.C5. Elaboración de las Fichas de la Carta Nacional Acuícola</t>
  </si>
  <si>
    <r>
      <t>A9.C5 Porcentaje de avance en la elaboración de las fichas de la Carta Nacional Acuícola</t>
    </r>
    <r>
      <rPr>
        <i/>
        <sz val="10"/>
        <color indexed="30"/>
        <rFont val="Soberana Sans"/>
      </rPr>
      <t xml:space="preserve">
</t>
    </r>
  </si>
  <si>
    <t>(Promedio del porcentaje de avance en la elaboración de las fichas de la Carta Nacional Acuícola / Número de fichas de la Carta Nacional Acuícola comprometidas)* 100</t>
  </si>
  <si>
    <t>F 10 A10. C6 Atención a solicitudes de capacitación</t>
  </si>
  <si>
    <r>
      <t>A10.C6. Porcentaje de capacitaciones atendidas</t>
    </r>
    <r>
      <rPr>
        <i/>
        <sz val="10"/>
        <color indexed="30"/>
        <rFont val="Soberana Sans"/>
      </rPr>
      <t xml:space="preserve">
</t>
    </r>
  </si>
  <si>
    <t>(Número de capacitaciones atendidas/Numero de capacitaciones solicitadas)*100</t>
  </si>
  <si>
    <r>
      <t xml:space="preserve">Porcentaje de variación anual del valor de la producción pesquera y acuícola a nivel nacional
</t>
    </r>
    <r>
      <rPr>
        <sz val="10"/>
        <rFont val="Soberana Sans"/>
        <family val="2"/>
      </rPr>
      <t>Sin Información,Sin Justificación</t>
    </r>
  </si>
  <si>
    <r>
      <t xml:space="preserve">Tasa de cambio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</si>
  <si>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P1.2. Porcentaje de Distritos de Desarrollo Rural en donde se usa tecnología del Instituto Nacional de Investigaciones Forestales, Agrícolas y Pecuarias en el año tn
</t>
    </r>
    <r>
      <rPr>
        <sz val="10"/>
        <rFont val="Soberana Sans"/>
        <family val="2"/>
      </rPr>
      <t>Sin Información,Sin Justificación</t>
    </r>
  </si>
  <si>
    <r>
      <t xml:space="preserve">P1.1 Porcentaje de tecnologías adoptadas por productores y usuarios vinculados con los sectores forestal, agrícola y pecuario en el año tn, con respecto a las tecnologías generadas por el Instituto Nacional de Investigaciones Forestales, Agrícolas y Pecuarias en el año tn-4
</t>
    </r>
    <r>
      <rPr>
        <sz val="10"/>
        <rFont val="Soberana Sans"/>
        <family val="2"/>
      </rPr>
      <t>Sin Información,Sin Justificación</t>
    </r>
  </si>
  <si>
    <r>
      <t xml:space="preserve">P1.3  Porcentaje de Planes de Manejo Pesquero elaborados que integran soluciones tecnológicas
</t>
    </r>
    <r>
      <rPr>
        <sz val="10"/>
        <rFont val="Soberana Sans"/>
        <family val="2"/>
      </rPr>
      <t>Sin Información,Sin Justificación</t>
    </r>
  </si>
  <si>
    <r>
      <t xml:space="preserve">C1.Porcentaje de tecnologías forestales, agrícolas y pecuarias generadas con respecto a las tecnologías generadas en el año tn-4
</t>
    </r>
    <r>
      <rPr>
        <sz val="10"/>
        <rFont val="Soberana Sans"/>
        <family val="2"/>
      </rPr>
      <t xml:space="preserve"> Causa : Derivado del dinamismo generado por el cierre de sexenio, los Centros de Investigación del Instituto tomaron acciones preventivas, por lo que, en medida de lo posible, adelantaron las actividades programadas, con lo cual se obtuvo un porcentaje de cumplimiento del  80%  adicional sobre la meta programada. Efecto: Se obtuvo una desviación positiva para el cierre del primer semestre, con la generación de 18 tecnologías que coadyuvan al fortalecimiento del quehacer Institucional   Otros Motivos:</t>
    </r>
  </si>
  <si>
    <r>
      <t xml:space="preserve">C2.Porcentaje de tecnologías transferidas a los productores y/o usuarios vinculados con los sectores forestal, agrícola y pecuario en el año tn con respecto de las tecnologías validadas el año  tn-1
</t>
    </r>
    <r>
      <rPr>
        <sz val="10"/>
        <rFont val="Soberana Sans"/>
        <family val="2"/>
      </rPr>
      <t xml:space="preserve"> Causa : Derivado del dinamismo generado por el cierre de sexenio, los Centros de Investigación del Instituto tomaron acciones preventivas, por lo que, en medida de lo posible, adelantaron las actividades programadas, con lo cual se obtuvo un 50% de cumplimiento adicional sobre la meta programada. Efecto: Se obtuvo una desviación positiva para el cierre del primer semestre, con la transferencia de tecnologías que coadyuvan al fortalecimiento del que hacer Institucional   Otros Motivos:</t>
    </r>
  </si>
  <si>
    <r>
      <t xml:space="preserve">C4. Porcentaje de avance en la elaboración de la Carta Nacional Pesquera
</t>
    </r>
    <r>
      <rPr>
        <sz val="10"/>
        <rFont val="Soberana Sans"/>
        <family val="2"/>
      </rPr>
      <t xml:space="preserve"> Causa : El retraso se debió a que, con el fin de brindar un mayor sustento al estatus poblacional de los recursos pesqueros incluidos en las fichas de la CNP, se está trabajando en la incorporación del diagrama de KOBE, el cual  es un gráfico de cuatro cuadrantes que indica el estado de una población y su trayectoria con el paso del tiempo, así mismo indica si la población está saludable, o se encuentra en sobrepesca. Se cuenta con el tiempo para dar cumplimiento a la meta.  Efecto: La inclusión del diagrama de Kobe, brindará una mayor certeza en la toma de decisiones sobre la resolución de permisos y concesiones. Se cuenta con el tiempo para dar cumplimiento a la meta. Otros Motivos:</t>
    </r>
  </si>
  <si>
    <r>
      <t xml:space="preserve">C3. Porcentaje de opiniones y dictámenes técnicos que promuevan el aprovechamiento sustentable de los recursos pesqueros y acuícolas.
</t>
    </r>
    <r>
      <rPr>
        <sz val="10"/>
        <rFont val="Soberana Sans"/>
        <family val="2"/>
      </rPr>
      <t xml:space="preserve"> Causa : Comportamiento de la meta acorde a lo programado. Esta fue rebasada al realizar dos opiniones y dictámenes técnicos adicionales a lo programado. Efecto: Comportamiento de la meta acorde a lo programado. Sin efectos considerables toda vez que la  meta fue superada en .17 puntos porcentuales.  Otros Motivos:</t>
    </r>
  </si>
  <si>
    <r>
      <t xml:space="preserve">C5. Porcentaje de avance en la elaboración de la Carta Nacional Acuícola
</t>
    </r>
    <r>
      <rPr>
        <sz val="10"/>
        <rFont val="Soberana Sans"/>
        <family val="2"/>
      </rPr>
      <t xml:space="preserve"> Causa : Comportamiento de la meta acorde a lo programado.  Efecto: Comportamiento de la meta acorde a lo programado.  Otros Motivos:</t>
    </r>
  </si>
  <si>
    <r>
      <t xml:space="preserve">C6. Porcentaje de capacitaciones realizadas que promueven el desarrollo y la innovación tecnológica
</t>
    </r>
    <r>
      <rPr>
        <sz val="10"/>
        <rFont val="Soberana Sans"/>
        <family val="2"/>
      </rPr>
      <t xml:space="preserve"> Causa : La meta queda por debajo de lo planeado debido a que las capacitaciones que promueven el desarrollo y la innovación tecnológica, son solicitadas a demanda del sector pesquero y acuícola; se realiza el ajuste de meta para su cumplimiento en el 4to Trimestre. Efecto: Aunque se presenta un retraso en el cumplimiento de la meta, se realiza el ajuste de meta para su cumplimiento en el 4to Trimestre. Otros Motivos:</t>
    </r>
  </si>
  <si>
    <r>
      <t xml:space="preserve">A1.C1. Promedio de artículos científicos publicados por investigador en activo en el año tn
</t>
    </r>
    <r>
      <rPr>
        <sz val="10"/>
        <rFont val="Soberana Sans"/>
        <family val="2"/>
      </rPr>
      <t xml:space="preserve"> Causa : Los artículos científicos dependen de los procesos de cada editorial, por tal motivo no se tiene certeza de la fecha de publicación, con lo cual en el primer semestre se obtuvo una desviación positiva de la meta alcanzada del 47%. Efecto: El efecto es positivo toda vez que se cuenta con una mayor oferta de artículos científicos a disponibilidad de los usuarios. Otros Motivos:</t>
    </r>
  </si>
  <si>
    <r>
      <t xml:space="preserve"> A2.C1. Porcentaje de tecnologías validadas en el año tn con respecto de las tecnologías generadas el año tn-1
</t>
    </r>
    <r>
      <rPr>
        <sz val="10"/>
        <rFont val="Soberana Sans"/>
        <family val="2"/>
      </rPr>
      <t xml:space="preserve"> Causa : Derivado del dinamismo generado por el cierre de sexenio, los Centros de Investigación del Instituto tomaron acciones preventivas, por lo que, en medida de lo posible, adelantaron las actividades programadas, con lo cual se obtuvo un 49.84% de cumplimiento adicional sobre la meta programada Efecto: Se obtuvo una desviación positiva para el cierre del primer semestre, validando tecnologías que coadyuvan al fortalecimiento del quehacer Institucional   Otros Motivos:</t>
    </r>
  </si>
  <si>
    <r>
      <t xml:space="preserve">A3.C1 Promedio de publicaciones tecnológicas por investigador en activo en el año tn
</t>
    </r>
    <r>
      <rPr>
        <sz val="10"/>
        <rFont val="Soberana Sans"/>
        <family val="2"/>
      </rPr>
      <t xml:space="preserve"> Causa : Se obtuvieron más publicaciones tecnológicas de las programadas para el primer semestre derivado a que estas dependen de los procesos de cada editorial, por tal motivo no se tiene certeza de la fecha de publicación, por lo cual la meta alcanzada fue de un 62%, por arriba de lo programado.  Efecto: Los usuarios cuentan con un mayor acceso a las publicaciones generadas por investigadores del INIFAP, en las cuales se difunden conocimientos técnicos de los sectores agrícola, pecuario y forestal.   Otros Motivos:</t>
    </r>
  </si>
  <si>
    <r>
      <t xml:space="preserve">A4.C2.Promedio de cursos, talleres, eventos demostrativos y foros de divulgación impartidos por investigador en activo en el año tn
</t>
    </r>
    <r>
      <rPr>
        <sz val="10"/>
        <rFont val="Soberana Sans"/>
        <family val="2"/>
      </rPr>
      <t xml:space="preserve"> Causa : Se obtuvo un incremento positivo en la meta programada de capacitaciones y difusión de las actividades realizadas por los investigadores del Instituto, derivada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 Efecto: Esta desviación positiva coadyuva en el fortalecimiento y la competitividad Institucional demostrando una gran capacidad de atención a las demandas de los sectores derivado de la vinculación con otros organismos, tal es el caso de la CNOG, en donde se realizó la capacitación y difusión en apoyo a la transferencia de tecnologías generadas en el instituto Otros Motivos:</t>
    </r>
  </si>
  <si>
    <r>
      <t xml:space="preserve">A5.C2. Promedio de profesionistas del sector atendidos por investigador en activo en el año tn
</t>
    </r>
    <r>
      <rPr>
        <sz val="10"/>
        <rFont val="Soberana Sans"/>
        <family val="2"/>
      </rPr>
      <t xml:space="preserve"> Causa : Derivado de algunos procesos y ciclos productivos, los periodos de capacitación para los profesionistas del sector se retrasaron, en razón de lo anterior se obtuvo un cumplimiento del 88.33% de la meta programada para el primer semestre.  Efecto: Dado que la variación es mínima, aunado al hecho de se implementarán las acciones necesarias para el cumplimiento de la meta anual,  no se consideran efectos negativos. Otros Motivos:En la causa se menciona el porcentaje de cumplimiento de la meta en 88.33%, dato que resulta al utilizar todos los decimales contenidos en las metas relativas, siendo el mismo que si se obtiene de las metas absolutas; se hace la presente aclaración dado que si se toman únicamente los dos decimales que se registran en este sistema, para calcular el porcentaje de avance de la meta, el resultado es diferente y no preciso. </t>
    </r>
  </si>
  <si>
    <r>
      <t xml:space="preserve">A6.C2. Porcentaje total de personal del Instituto Nacional de Investigaciones Forestales, Agrícolas y Pecuarias que se capacita en el año tn
</t>
    </r>
    <r>
      <rPr>
        <sz val="10"/>
        <rFont val="Soberana Sans"/>
        <family val="2"/>
      </rPr>
      <t xml:space="preserve"> Causa : Para el tercer trimestre se superó la meta programada, esto se debió a que en el mes de agosto la mayor parte del personal operativo de base se capacitó en materia de informática y nuevas tecnologías a través de la plataforma de Microsoft Efecto: Se reforzó la oferta de capacitación institucional correspondiente al tercer  trimestre del ejercicio fiscal, con lo que obtuvo un cumplimiento del 107.63%  Otros Motivos:</t>
    </r>
  </si>
  <si>
    <r>
      <t xml:space="preserve">A8. C4 Porcentaje de avance en la elaboración de las fichas de la Carta Nacional Pesquera
</t>
    </r>
    <r>
      <rPr>
        <sz val="10"/>
        <rFont val="Soberana Sans"/>
        <family val="2"/>
      </rPr>
      <t xml:space="preserve"> Causa : El retraso se debió a que, con el fin de brindar un mayor sustento al estatus poblacional de los recursos pesqueros incluidos en las fichas de la CNP, se está trabajando en la incorporación del diagrama de KOBE, el cual  es un gráfico de cuatro cuadrantes que indica el estado de una población y su trayectoria con el paso del tiempo, así mismo indica si la población está saludable, o se encuentra en sobrepesca. Se cuenta con el tiempo para dar cumplimiento a la meta. Efecto: La inclusión del diagrama de Kobe, brindará una mayor certeza en la toma de decisiones sobre la resolución de permisos y concesiones. Se cuenta con el tiempo para dar cumplimiento a la meta. Otros Motivos:</t>
    </r>
  </si>
  <si>
    <r>
      <t xml:space="preserve">A7.C3. Porcentaje de informes elaborados de investigaciones que promueven el desarrollo y la innovación tecnológica
</t>
    </r>
    <r>
      <rPr>
        <sz val="10"/>
        <rFont val="Soberana Sans"/>
        <family val="2"/>
      </rPr>
      <t xml:space="preserve"> Causa : Comportamiento de la meta acorde a lo programado. Se realiza el ajuste de meta para su cumplimiento en el 4to Trimestre. Efecto: Comportamiento de la meta acorde a lo programado. Se realiza el ajuste de meta para su cumplimiento en el 4to Trimestre. Otros Motivos:</t>
    </r>
  </si>
  <si>
    <r>
      <t xml:space="preserve">A9.C5 Porcentaje de avance en la elaboración de las fichas de la Carta Nacional Acuícola
</t>
    </r>
    <r>
      <rPr>
        <sz val="10"/>
        <rFont val="Soberana Sans"/>
        <family val="2"/>
      </rPr>
      <t xml:space="preserve"> Causa : Comportamiento de la meta conforme a lo planeado. Efecto: Comportamiento de la meta conforme a lo planeado. Otros Motivos:</t>
    </r>
  </si>
  <si>
    <r>
      <t xml:space="preserve">A10.C6. Porcentaje de capacitaciones atendidas
</t>
    </r>
    <r>
      <rPr>
        <sz val="10"/>
        <rFont val="Soberana Sans"/>
        <family val="2"/>
      </rPr>
      <t xml:space="preserve"> Causa : Se superaron las estimaciones iniciales, debido a un incremento en las solicitudes de capacitación por el sector pesquero y acuícola. Efecto: Transferencia de conocimiento realizada a un mayor numero de beneficiarios.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</si>
  <si>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</si>
  <si>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</si>
  <si>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</si>
  <si>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</si>
  <si>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</si>
  <si>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</si>
  <si>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r>
      <t>Porcentaje de Programas presupuestarios de las modalidades S, U, E, B y P de la SAGARPA con un nivel de logro satisfactorio en la metas de los indicadores de la MIR.</t>
    </r>
    <r>
      <rPr>
        <i/>
        <sz val="10"/>
        <color indexed="30"/>
        <rFont val="Soberana Sans"/>
      </rPr>
      <t xml:space="preserve">
</t>
    </r>
  </si>
  <si>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</si>
  <si>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A C1. Matrices de Indicadores para Resultados mejoradas, de los programas presupuestarios de la SAGARPA</t>
  </si>
  <si>
    <r>
      <t xml:space="preserve">C1. Porcentaje de programas presupuestarios de la SAGARPA con Matriz de Indicadores para Resultados mejorada    </t>
    </r>
    <r>
      <rPr>
        <i/>
        <sz val="10"/>
        <color indexed="30"/>
        <rFont val="Soberana Sans"/>
      </rPr>
      <t xml:space="preserve">
</t>
    </r>
  </si>
  <si>
    <t xml:space="preserve">(Número de programas presupuestarios de la SAGARPA con Matriz de Indicadores para Resultados mejorada en el año t) / (Total de Programas presupuestarios de la SAGARPA con Matriz de Indicadores para Resultados en el año t)*100    </t>
  </si>
  <si>
    <t>B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</si>
  <si>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</si>
  <si>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</si>
  <si>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</si>
  <si>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</si>
  <si>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</si>
  <si>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</si>
  <si>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</si>
  <si>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</si>
  <si>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</si>
  <si>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</si>
  <si>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Porcentaje de Programas presupuestarios de las modalidades S, U, E, B y P de la SAGARPA con un nivel de logro satisfactorio en la metas de los indicadores de la MIR.
</t>
    </r>
    <r>
      <rPr>
        <sz val="10"/>
        <rFont val="Soberana Sans"/>
        <family val="2"/>
      </rPr>
      <t>Sin Información,Sin Justificación</t>
    </r>
  </si>
  <si>
    <r>
      <t xml:space="preserve">C1. Porcentaje de programas presupuestarios de la SAGARPA con Matriz de Indicadores para Resultados mejorada    
</t>
    </r>
    <r>
      <rPr>
        <sz val="10"/>
        <rFont val="Soberana Sans"/>
        <family val="2"/>
      </rPr>
      <t>Sin Información,Sin Justificación</t>
    </r>
  </si>
  <si>
    <r>
      <t xml:space="preserve">C2. Porcentaje de Recursos de Apoyo Administrativo Ejercidos
</t>
    </r>
    <r>
      <rPr>
        <sz val="10"/>
        <rFont val="Soberana Sans"/>
        <family val="2"/>
      </rPr>
      <t xml:space="preserve"> Causa : La programación se basa en las demandas de las distintas Unidades Responsables, las cuales de acuerdo a sus requerimientos pueden variar de un periodo a otro, razón por la cual en este periodo se reporta un mayor monto de apoyo administrativo ejercido a lo programado. Efecto: La variación de la meta no afecta de manera significativa el cumplimiento de la misma. Otros Motivos:</t>
    </r>
  </si>
  <si>
    <r>
      <t xml:space="preserve">A2.C2. Estructura Programática Sectorial Autorizada
</t>
    </r>
    <r>
      <rPr>
        <sz val="10"/>
        <rFont val="Soberana Sans"/>
        <family val="2"/>
      </rPr>
      <t xml:space="preserve"> Causa : La meta alcanzada se encuentra dentro del umbral verde-amarillo Efecto: La meta alcanzada se encuentra dentro del umbral verde-amarillo Otros Motivos:</t>
    </r>
  </si>
  <si>
    <r>
      <t xml:space="preserve">A1. C1. Porcentaje de Unidades Responsables con Recursos Asignados
</t>
    </r>
    <r>
      <rPr>
        <sz val="10"/>
        <rFont val="Soberana Sans"/>
        <family val="2"/>
      </rPr>
      <t xml:space="preserve"> Causa : La meta alcanzada se encuentra dentro del umbral verde- amarillo. Efecto: La meta alcanzada se encuentra dentro del umbral verde- amarillo. Otros Motivos:</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</si>
  <si>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</si>
  <si>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</si>
  <si>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</si>
  <si>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</si>
  <si>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</si>
  <si>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</si>
  <si>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</si>
  <si>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</si>
  <si>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Tasa de variación</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</si>
  <si>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</si>
  <si>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</si>
  <si>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</si>
  <si>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</si>
  <si>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</si>
  <si>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</si>
  <si>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</si>
  <si>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</si>
  <si>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</si>
  <si>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</si>
  <si>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</si>
  <si>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</si>
  <si>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</si>
  <si>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</si>
  <si>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</si>
  <si>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</si>
  <si>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</si>
  <si>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</si>
  <si>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</si>
  <si>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</si>
  <si>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</si>
  <si>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</si>
  <si>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</si>
  <si>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</si>
  <si>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</si>
  <si>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</si>
  <si>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</si>
  <si>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</si>
  <si>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B 4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</si>
  <si>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</si>
  <si>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</si>
  <si>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5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</si>
  <si>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</si>
  <si>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</si>
  <si>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</si>
  <si>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</si>
  <si>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</si>
  <si>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</si>
  <si>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</si>
  <si>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</si>
  <si>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</si>
  <si>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</si>
  <si>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</si>
  <si>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</si>
  <si>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</si>
  <si>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</si>
  <si>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</si>
  <si>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</si>
  <si>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crecimiento del PIB agropecuario y pesquero
</t>
    </r>
    <r>
      <rPr>
        <sz val="10"/>
        <rFont val="Soberana Sans"/>
        <family val="2"/>
      </rPr>
      <t>Sin Información,Sin Justificación</t>
    </r>
  </si>
  <si>
    <r>
      <t xml:space="preserve">Tasa de variación de la productividad total de los factores del sector agroalimentario.
</t>
    </r>
    <r>
      <rPr>
        <sz val="10"/>
        <rFont val="Soberana Sans"/>
        <family val="2"/>
      </rPr>
      <t>Sin Información,Sin Justificación</t>
    </r>
  </si>
  <si>
    <r>
      <t xml:space="preserve">P Tasa de variación en la productividad de la actividad económica apoyada en las Unidades de Producción Primaria del sector agropecuario, pesquero y acuícola en las Entidades Federativas.
</t>
    </r>
    <r>
      <rPr>
        <sz val="10"/>
        <rFont val="Soberana Sans"/>
        <family val="2"/>
      </rPr>
      <t>Sin Información,Sin Justificación</t>
    </r>
  </si>
  <si>
    <r>
      <t xml:space="preserve">C1 Tasa de variación del valor de los activos de las Unidades de Producción Primaria del sector agropecuario, pesquero y acuícola en las Entidades Federativas.
</t>
    </r>
    <r>
      <rPr>
        <sz val="10"/>
        <rFont val="Soberana Sans"/>
        <family val="2"/>
      </rPr>
      <t>Sin Información,Sin Justificación</t>
    </r>
  </si>
  <si>
    <r>
      <t xml:space="preserve">C2.3 Tasa de variación del índice de nivel tecnológico en la actividad acuícola.
</t>
    </r>
    <r>
      <rPr>
        <sz val="10"/>
        <rFont val="Soberana Sans"/>
        <family val="2"/>
      </rPr>
      <t>Sin Información,Sin Justificación</t>
    </r>
  </si>
  <si>
    <r>
      <t xml:space="preserve">C2.4 Tasa de variación del índice de nivel tecnológico en la actividad pesquera.
</t>
    </r>
    <r>
      <rPr>
        <sz val="10"/>
        <rFont val="Soberana Sans"/>
        <family val="2"/>
      </rPr>
      <t>Sin Información,Sin Justificación</t>
    </r>
  </si>
  <si>
    <r>
      <t xml:space="preserve">C2.2 Tasa de variación del índice de nivel tecnológico en la actividad pecuaria.
</t>
    </r>
    <r>
      <rPr>
        <sz val="10"/>
        <rFont val="Soberana Sans"/>
        <family val="2"/>
      </rPr>
      <t>Sin Información,Sin Justificación</t>
    </r>
  </si>
  <si>
    <r>
      <t xml:space="preserve">C2.1 Tasa de variación del índice de nivel tecnológico en la actividad agrícola.
</t>
    </r>
    <r>
      <rPr>
        <sz val="10"/>
        <rFont val="Soberana Sans"/>
        <family val="2"/>
      </rPr>
      <t>Sin Información,Sin Justificación</t>
    </r>
  </si>
  <si>
    <r>
      <t xml:space="preserve">C3 Porcentaje de las unidades de producción en las que se aplican las técnicas de producción adquiridas mediante la capacitación, transferencia de tecnología y asesoría.
</t>
    </r>
    <r>
      <rPr>
        <sz val="10"/>
        <rFont val="Soberana Sans"/>
        <family val="2"/>
      </rPr>
      <t>Sin Información,Sin Justificación</t>
    </r>
  </si>
  <si>
    <r>
      <t xml:space="preserve">A2. C1 Porcentaje de implementación de Proyectos estratégicos agrícolas, pecuarios, pesqueros y acuícolas.
</t>
    </r>
    <r>
      <rPr>
        <sz val="10"/>
        <rFont val="Soberana Sans"/>
        <family val="2"/>
      </rPr>
      <t xml:space="preserve"> Causa : Derivado de la veda electoral, la entrega de los estímulos se va a realizar en el segundo semestre del año, razón por la cual el avance del indicador es mínimo, aunado a ello la recepción de proyectos estratégicos incrementó en un 95% aproximadamente    Efecto: Retraso en la entrega de estímulos y ello impacta en la implementación de los proyectos    Otros Motivos:</t>
    </r>
  </si>
  <si>
    <r>
      <t xml:space="preserve">A1.C1 Porcentaje de implementación de Proyectos Productivos agrícolas, pecuarios, pesqueros y acuícolas.
</t>
    </r>
    <r>
      <rPr>
        <sz val="10"/>
        <rFont val="Soberana Sans"/>
        <family val="2"/>
      </rPr>
      <t xml:space="preserve"> Causa : Derivado de la veda electoral la entrega de estímulos a los productores se vio forzado a un inpass, ello afectó la implementación de los proyectos productivos a la baja.    Efecto: El efecto inmediato se deriva en un incumplimiento de la meta, para lo cual las áreas operativas pondrán en marcha las acciones necesarias para que al final del ejercicio se cumpla con la meta programada.    Otros Motivos:</t>
    </r>
  </si>
  <si>
    <r>
      <t xml:space="preserve">A3. C2 Porcentaje de Unidades de Producción Primaria con paquetes tecnológicos de pesca y acuacultura aplicados
</t>
    </r>
    <r>
      <rPr>
        <sz val="10"/>
        <rFont val="Soberana Sans"/>
        <family val="2"/>
      </rPr>
      <t xml:space="preserve"> Causa : Derivado de la veda electoral, la entrega de los estímulos se va a realizar en el segundo semestre del año, razón por la cual no hay avance del indicador   Efecto: Se retrasa la entrega de los estímulos   Otros Motivos:</t>
    </r>
  </si>
  <si>
    <r>
      <t xml:space="preserve">A1. C2 Porcentaje de Unidades de Producción Primaria con paquetes tecnológicos agrícolas para cultivos cíclicos y perennes aplicados    
</t>
    </r>
    <r>
      <rPr>
        <sz val="10"/>
        <rFont val="Soberana Sans"/>
        <family val="2"/>
      </rPr>
      <t xml:space="preserve"> Causa : La meta alcanzada muestra variaciones ya que se los productores sembraron con anticipación por ello se adelantó la entrega de los paquetes.     Efecto: Mayor número de UPP agrícolas contaron con el apoyo para iniciar anticipadamente con la siembra.    Otros Motivos:</t>
    </r>
  </si>
  <si>
    <r>
      <t xml:space="preserve">A2. C2 Porcentaje de Unidades de Producción Primaria con paquetes tecnológicos pecuarios para bovinos y especies menores aplicados
</t>
    </r>
    <r>
      <rPr>
        <sz val="10"/>
        <rFont val="Soberana Sans"/>
        <family val="2"/>
      </rPr>
      <t xml:space="preserve"> Causa : Derivado de la veda electoral, la entrega de los estímulos se va a realizar en el segundo semestre del año, razón por la cual no se cuenta con avance del indicador   Efecto: Se retrasa la entrega de los estímulos, a las unidades de producción   Otros Motivos:</t>
    </r>
  </si>
  <si>
    <r>
      <t xml:space="preserve">A1. C3 Porcentaje de establecimiento de Centros de capacitación, transferencia de tecnología y desarrollo regional sustentable.
</t>
    </r>
    <r>
      <rPr>
        <sz val="10"/>
        <rFont val="Soberana Sans"/>
        <family val="2"/>
      </rPr>
      <t xml:space="preserve"> Causa : Derivado de la veda electoral, la entrega de los estímulos se va a realizar en el segundo semestre del año, razón por la cual durante el primer semestre del año no se tiene avance en los centros de capacitación.   Efecto: Presión operativa para el desarrollo de los centros en el segundo semestre del año.   Otros Motivos:</t>
    </r>
  </si>
  <si>
    <r>
      <t xml:space="preserve">A2.1. C3 Porcentaje de eventos de Capacitación realizados
</t>
    </r>
    <r>
      <rPr>
        <sz val="10"/>
        <rFont val="Soberana Sans"/>
        <family val="2"/>
      </rPr>
      <t xml:space="preserve"> Causa : Derivado de la veda electoral, la entrega de los estímulos se va a realizar en el segundo semestre del año, razón por la cual durante el primer semestre del año no se han podido realizar eventos de capacitación.   Efecto: Presión operativa para el desarrollo de todos los eventos de capacitación programados.   Otros Motivos:</t>
    </r>
  </si>
  <si>
    <r>
      <t xml:space="preserve">A2.2.C3 Porcentaje de eventos de transferencia de tecnología realizados.
</t>
    </r>
    <r>
      <rPr>
        <sz val="10"/>
        <rFont val="Soberana Sans"/>
        <family val="2"/>
      </rPr>
      <t xml:space="preserve"> Causa : Derivado de la veda electoral, la entrega de los estímulos se va a realizar en el segundo semestre del año, razón por la cual durante el primer semestre del año no se han podido realizar eventos para la transferencia de tecnología   Efecto: Presión operativa para el desarrollo de todos los talleres de capacitación programados.   Otros Motivos:</t>
    </r>
  </si>
  <si>
    <r>
      <t xml:space="preserve">A3. C3 Porcentaje de eventos de asesoría realizados para el desarrollo de capacidades.
</t>
    </r>
    <r>
      <rPr>
        <sz val="10"/>
        <rFont val="Soberana Sans"/>
        <family val="2"/>
      </rPr>
      <t xml:space="preserve"> Causa : Derivado de la veda electoral, la entrega de los estímulos se va a realizar en el segundo semestre del año, razón por la cual no hay avance del indicador   Efecto: Presión operativa para el desarrollo de los eventos de asesoría   Otros Motivos:</t>
    </r>
  </si>
  <si>
    <r>
      <t xml:space="preserve">A4. C3  Porcentaje de unidades de producción primaria que reciben asistencia técnica para la elaboración de proyectos ejecutivos.
</t>
    </r>
    <r>
      <rPr>
        <sz val="10"/>
        <rFont val="Soberana Sans"/>
        <family val="2"/>
      </rPr>
      <t xml:space="preserve"> Causa : Derivado de la veda electoral, la entrega de los estímulos se va a realizar en el segundo semestre del año, razón por la cual no hay avance del indicador. Cabe mencionar el número de UPP registradas para asistencia técnica es menor a lo programado.   Efecto: Se retrasa la entrega de los estímulos.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</si>
  <si>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</si>
  <si>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</si>
  <si>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</si>
  <si>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</si>
  <si>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</si>
  <si>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</si>
  <si>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</si>
  <si>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</si>
  <si>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C3 Incentivos económicos entregados a productores para capacitación y certificación</t>
  </si>
  <si>
    <r>
      <t xml:space="preserve">C3.1 Porcentaje de productores capacitados </t>
    </r>
    <r>
      <rPr>
        <i/>
        <sz val="10"/>
        <color indexed="30"/>
        <rFont val="Soberana Sans"/>
      </rPr>
      <t xml:space="preserve">
</t>
    </r>
  </si>
  <si>
    <t xml:space="preserve">(Número total de productores capacitados/Número total de productores apoyados por el Componente de certificación y normalización)* 100    </t>
  </si>
  <si>
    <r>
      <t>C3.2 Porcentaje de productores certificados</t>
    </r>
    <r>
      <rPr>
        <i/>
        <sz val="10"/>
        <color indexed="30"/>
        <rFont val="Soberana Sans"/>
      </rPr>
      <t xml:space="preserve">
</t>
    </r>
  </si>
  <si>
    <t xml:space="preserve">(Número total de productores certificados/Número total de productores capacitados)* 100    </t>
  </si>
  <si>
    <t>B C5 Incentivos económicos otorgados a través de los Componentes que facilitan el acceso al financiamiento a los productores (agrícolas, pecuarios, pesqueros, acuícolas y rurales en su conjunto).</t>
  </si>
  <si>
    <r>
      <t>C5.1 Porcentaje de variación del monto de crédito para beneficiarios del Componente de Acceso al Financiamiento, respecto al año base.</t>
    </r>
    <r>
      <rPr>
        <i/>
        <sz val="10"/>
        <color indexed="30"/>
        <rFont val="Soberana Sans"/>
      </rPr>
      <t xml:space="preserve">
</t>
    </r>
  </si>
  <si>
    <t>(Monto total de crédito otorgado a beneficiarios del Componente, en el año tn / Monto total de crédito otorgado a beneficiarios del Componente, en el año t0)*100</t>
  </si>
  <si>
    <r>
      <t>C5.2 Porcentaje de variación de beneficiarios del Componente de Acceso al Financiamiento, respecto al año base.</t>
    </r>
    <r>
      <rPr>
        <i/>
        <sz val="10"/>
        <color indexed="30"/>
        <rFont val="Soberana Sans"/>
      </rPr>
      <t xml:space="preserve">
</t>
    </r>
  </si>
  <si>
    <t>(Número total de beneficiarios, contabilizados una sola vez, del Componente en el año tn/Número total de beneficiarios, contabilizados una sola vez, del Componente en el año t0)*100</t>
  </si>
  <si>
    <t>C C4 Incentivos económicos otorgados para el Desarrollo productivo del Sur Sureste y Zonas Económicas Especiales</t>
  </si>
  <si>
    <r>
      <t xml:space="preserve">C4. Valor de la inversión detonada por cada peso otorgado para el Desarrollo productivo del Sur Sureste y Zonas Económicas Especiales   </t>
    </r>
    <r>
      <rPr>
        <i/>
        <sz val="10"/>
        <color indexed="30"/>
        <rFont val="Soberana Sans"/>
      </rPr>
      <t xml:space="preserve">
</t>
    </r>
  </si>
  <si>
    <t xml:space="preserve">(Monto de inversión total generada de los proyectos apoyados / Monto total de los incentivos al desarrollo productivo del sur sureste y zonas económicas especiales otorgados)  </t>
  </si>
  <si>
    <t>D C2 Incentivos económicos entregados a las Unidades Económicas Rurales que detonan inversión en activos productivos y agrologística</t>
  </si>
  <si>
    <r>
      <t>C2 Valor de la inversión detonada por los incentivos económicos entregados para activos productivos y agrologística</t>
    </r>
    <r>
      <rPr>
        <i/>
        <sz val="10"/>
        <color indexed="30"/>
        <rFont val="Soberana Sans"/>
      </rPr>
      <t xml:space="preserve">
</t>
    </r>
  </si>
  <si>
    <t>Monto de inversión total de las Unidades Económicas Rurales apoyadas en el año t/Monto total de incentivos económicos entregados a las Unidades Económicas Rurales en el año t</t>
  </si>
  <si>
    <t>razón</t>
  </si>
  <si>
    <t>E 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</si>
  <si>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r>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r>
    <r>
      <rPr>
        <i/>
        <sz val="10"/>
        <color indexed="30"/>
        <rFont val="Soberana Sans"/>
      </rPr>
      <t xml:space="preserve">
</t>
    </r>
  </si>
  <si>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</si>
  <si>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F C6 Incentivos económicos otorgados a las Unidades Económicas Rurales en los estratos E2, E3 y E4.</t>
  </si>
  <si>
    <r>
      <t>C6. Valor de la inversión detonada por los incentivos económicos entregados a través del componente riesgo compartido</t>
    </r>
    <r>
      <rPr>
        <i/>
        <sz val="10"/>
        <color indexed="30"/>
        <rFont val="Soberana Sans"/>
      </rPr>
      <t xml:space="preserve">
</t>
    </r>
  </si>
  <si>
    <t xml:space="preserve">(Monto de inversión total de las Unidades Económicas Rurales apoyadas en el año t/Monto total de incentivos económicos entregados a las Unidades Económicas Rurales en el año t)*100  </t>
  </si>
  <si>
    <t>A 1 A2.C3 Recepción de solicitudes de Productores Convencionales para su conversion a Productores Orgánicos</t>
  </si>
  <si>
    <r>
      <t>A2.C3 Porcentaje de solicitudes autorizadas por la Unidad Técnica Auxiliar.</t>
    </r>
    <r>
      <rPr>
        <i/>
        <sz val="10"/>
        <color indexed="30"/>
        <rFont val="Soberana Sans"/>
      </rPr>
      <t xml:space="preserve">
</t>
    </r>
  </si>
  <si>
    <t xml:space="preserve">(Número de solicitudes autorizadas por la Unidad Técnica Auxiliar en el año t / Número de solicitudes recibidas en el año t) * 100    </t>
  </si>
  <si>
    <t>B 2 A1.C5 Recepción de solicitudes de operaciones crediticias para el acceso al financiamiento.</t>
  </si>
  <si>
    <r>
      <t>A1.C5 Tasa de variación del número de operaciones beneficiadas al amparo del Componente de Acceso al Financiamiento, respecto al año base.</t>
    </r>
    <r>
      <rPr>
        <i/>
        <sz val="10"/>
        <color indexed="30"/>
        <rFont val="Soberana Sans"/>
      </rPr>
      <t xml:space="preserve">
</t>
    </r>
  </si>
  <si>
    <t>((Número de operaciones beneficiadas en el año tn/Número de operaciones beneficiadas en el año t0)-1)*100</t>
  </si>
  <si>
    <t>C 3 A3. C4 Cuantificación de la variación de los beneficiarios apoyados en los estados del Sur Sureste y Zonas Económicas Especiales.</t>
  </si>
  <si>
    <r>
      <t xml:space="preserve">A3.C4 Tasa de Variación del número de beneficiarios de los proyectos apoyados </t>
    </r>
    <r>
      <rPr>
        <i/>
        <sz val="10"/>
        <color indexed="30"/>
        <rFont val="Soberana Sans"/>
      </rPr>
      <t xml:space="preserve">
</t>
    </r>
  </si>
  <si>
    <t>((Número de beneficiarios apoyados en t/Número de beneficiarios apoyados en t-1)-1)*100</t>
  </si>
  <si>
    <t>C 4 A4. C4 Cuantificación de la variación en el número de proyectos apoyados con cada 100 millones de pesos, en los Estados del Sur Sureste y Zonas Económicas Especiales.</t>
  </si>
  <si>
    <r>
      <t>A4.C4 Tasa de Variación del número de proyectos apoyados por cada 100 mdp de incentivo con respecto al año anterior.</t>
    </r>
    <r>
      <rPr>
        <i/>
        <sz val="10"/>
        <color indexed="30"/>
        <rFont val="Soberana Sans"/>
      </rPr>
      <t xml:space="preserve">
</t>
    </r>
  </si>
  <si>
    <t>((Número de proyectos apoyados con 100 mdp de incentivo otorgado en el año t/Número de proyectos apoyados con 100 mdp de incentivo otorgado en el año t-1)-1)*100</t>
  </si>
  <si>
    <t>D 5 A6.C2 Recepción de solicitudes</t>
  </si>
  <si>
    <r>
      <t>A6.C2 Porcentaje de solicitudes recibidas por el Componente de Activos Productivos y Agrologística</t>
    </r>
    <r>
      <rPr>
        <i/>
        <sz val="10"/>
        <color indexed="30"/>
        <rFont val="Soberana Sans"/>
      </rPr>
      <t xml:space="preserve">
</t>
    </r>
  </si>
  <si>
    <t>(Número de solicitudes recibidas para activos productivos y agrologística en el año t/Número de solicitudes programadas a recibir para activos productivos y agrologística en el año t)*100</t>
  </si>
  <si>
    <t>D 6 A7.C2 Unidades Económicas Rurales apoyadas con activos productivos y agrologística</t>
  </si>
  <si>
    <r>
      <t>A7.1.C2 Porcentaje de Unidades Económicas Rurales con incentivos económicos entregados para activos productivos y agrologística</t>
    </r>
    <r>
      <rPr>
        <i/>
        <sz val="10"/>
        <color indexed="30"/>
        <rFont val="Soberana Sans"/>
      </rPr>
      <t xml:space="preserve">
</t>
    </r>
  </si>
  <si>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</si>
  <si>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Gestión-Eficiencia-Anual</t>
  </si>
  <si>
    <r>
      <t>A7.2.C2 Promedio de la inversión total por Unidad Económica Rural apoyada con incentivos económicos para activos productivos y agrologística</t>
    </r>
    <r>
      <rPr>
        <i/>
        <sz val="10"/>
        <color indexed="30"/>
        <rFont val="Soberana Sans"/>
      </rPr>
      <t xml:space="preserve">
</t>
    </r>
  </si>
  <si>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</si>
  <si>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E 7 A5.C1 Gestión de incentivos económicos entregados de las personas físicas o morales, cuya actividad esté vinculada al sector agroalimentario y rural en su conjunto, y otros agentes económicos del sector rural integrados a la cadena productiva.</t>
  </si>
  <si>
    <r>
      <t>A5.C1 Porcentaje de incentivos económicos entregados por el Componente para el fomento en el uso de instrumentos de administración de riesgos de mercado.</t>
    </r>
    <r>
      <rPr>
        <i/>
        <sz val="10"/>
        <color indexed="30"/>
        <rFont val="Soberana Sans"/>
      </rPr>
      <t xml:space="preserve">
</t>
    </r>
  </si>
  <si>
    <t>(Número de incentivos económicos entregados / Número de solicitudes aprobadas)*100</t>
  </si>
  <si>
    <t>F 8 A8.C6 Dictaminación solicitudes Riesgo Compartido</t>
  </si>
  <si>
    <r>
      <t xml:space="preserve">A8.C6 Porcentaje de solicitudes dictaminadas positivas </t>
    </r>
    <r>
      <rPr>
        <i/>
        <sz val="10"/>
        <color indexed="30"/>
        <rFont val="Soberana Sans"/>
      </rPr>
      <t xml:space="preserve">
</t>
    </r>
  </si>
  <si>
    <t xml:space="preserve">(Número de solicitudes dictaminadas positivas en el año t/Número de solicitudes recibidas para el Componente Riesgo Compartido en el año t)*100  </t>
  </si>
  <si>
    <r>
      <t xml:space="preserve">Incentivos otorgados a proyectos de inversión beneficiados por el Programa por unidad económica rural
</t>
    </r>
    <r>
      <rPr>
        <sz val="10"/>
        <rFont val="Soberana Sans"/>
        <family val="2"/>
      </rPr>
      <t>Sin Información,Sin Justificación</t>
    </r>
  </si>
  <si>
    <r>
      <t xml:space="preserve">C3.1 Porcentaje de productores capacitados 
</t>
    </r>
    <r>
      <rPr>
        <sz val="10"/>
        <rFont val="Soberana Sans"/>
        <family val="2"/>
      </rPr>
      <t xml:space="preserve"> Causa : La meta alcanzada y los valores de las variables presentan cambios derivado de lo siguiente:  La baja del número de productores apoyados durante el primer semestre del año se debe a que se autorizaron un menor número de solicitudes al primer semestre del año, por lo que el porcentaje de productores capacitados se fue a la alza. Efecto: Si bien la meta se vio rebasada por las causas expuestas, durante el tercer trimestre se dará seguimiento al comportamiento del indicador para realizar los ajustes. Otros Motivos:</t>
    </r>
  </si>
  <si>
    <r>
      <t xml:space="preserve">C3.2 Porcentaje de productores certificados
</t>
    </r>
    <r>
      <rPr>
        <sz val="10"/>
        <rFont val="Soberana Sans"/>
        <family val="2"/>
      </rPr>
      <t xml:space="preserve"> Causa : La meta se vio rebasada ya que hubo modificaciones en ambas variables por lo siguiente:     1.- El número de productores capacitados en el primer sementare del 2018 fue menor a lo programado en un 50%, ya que lo programado corresponde al valor anualizado, lo que impactó directamente en que el porcentaje de productores certificados fuera mayor al programado.  Efecto: Si bien la meta se vio rebasada, por las causas expuestas. Se dará seguimiento al comportamiento del indicador para realizar los ajustes necesarios durante el primer trimestre. Otros Motivos:</t>
    </r>
  </si>
  <si>
    <r>
      <t xml:space="preserve">C5.1 Porcentaje de variación del monto de crédito para beneficiarios del Componente de Acceso al Financiamiento, respecto al año base.
</t>
    </r>
    <r>
      <rPr>
        <sz val="10"/>
        <rFont val="Soberana Sans"/>
        <family val="2"/>
      </rPr>
      <t xml:space="preserve"> Causa : 1.- El establecimiento de la meta para el primer semestre se calculó de manera conservador  ya que, se tomaron previsiones sobre la calendarización en la transferencia de recursos hacia las instancias ejecutoras como años anteriores la cual se había realizado en distintos periodos del ejercicio fiscal. 2.-  Para este 2018 se transfirió en su totalidad el recurso a la Financiera Nacional de Desarrollo Agropecuario, Rural, Forestal, y Pesquero, por lo que se tuvo más recurso disponible durante el primer semestre del año para tener una mayor apertura de créditos.    Efecto: 1.-Se tuvieron efectos positivos al tener el recurso para apertura de nuevos créditos, durante el primer semestre del año por lo que se logró una mayor cobertura al atender a más acreditados durante este periodo con créditos respaldados al Amparo del Componente de Acceso al Financiamiento.    Otros Motivos:</t>
    </r>
  </si>
  <si>
    <r>
      <t xml:space="preserve">C5.2 Porcentaje de variación de beneficiarios del Componente de Acceso al Financiamiento, respecto al año base.
</t>
    </r>
    <r>
      <rPr>
        <sz val="10"/>
        <rFont val="Soberana Sans"/>
        <family val="2"/>
      </rPr>
      <t xml:space="preserve"> Causa : 1.- El establecimiento de la meta para el primer semestre se calculó de manera conservador  ya que, se tomaron previsiones sobre la calendarización en la transferencia de recursos hacia las instancias ejecutoras como años anteriores la cual se había realizado en distintos periodos del ejercicio fiscal. 2.- Para este 2018 se transfirió en su totalidad el recurso a la Financiera Nacional de Desarrollo Agropecuario, Rural, Forestal, y Pesquero, por lo que se tuvo más recurso disponible durante el primer semestre del año para tener una mayor apertura de créditos.    Efecto: Si bien la meta se vio rebasada en un 77%; Se dio atención a un mayor número de productores agroalimentarios (11,998) con créditos respaldados al amparo del Componente Acceso al Financiamiento.    Otros Motivos:</t>
    </r>
  </si>
  <si>
    <r>
      <t xml:space="preserve">C4. Valor de la inversión detonada por cada peso otorgado para el Desarrollo productivo del Sur Sureste y Zonas Económicas Especiales   
</t>
    </r>
    <r>
      <rPr>
        <sz val="10"/>
        <rFont val="Soberana Sans"/>
        <family val="2"/>
      </rPr>
      <t>Sin Información,Sin Justificación</t>
    </r>
  </si>
  <si>
    <r>
      <t xml:space="preserve">C2 Valor de la inversión detonada por los incentivos económicos entregados para activos productivos y agrologística
</t>
    </r>
    <r>
      <rPr>
        <sz val="10"/>
        <rFont val="Soberana Sans"/>
        <family val="2"/>
      </rPr>
      <t>Sin Información,Sin Justificación</t>
    </r>
  </si>
  <si>
    <r>
      <t xml:space="preserve">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
</t>
    </r>
    <r>
      <rPr>
        <sz val="10"/>
        <rFont val="Soberana Sans"/>
        <family val="2"/>
      </rPr>
      <t>Sin Información,Sin Justificación</t>
    </r>
  </si>
  <si>
    <r>
      <t xml:space="preserve">C6. Valor de la inversión detonada por los incentivos económicos entregados a través del componente riesgo compartido
</t>
    </r>
    <r>
      <rPr>
        <sz val="10"/>
        <rFont val="Soberana Sans"/>
        <family val="2"/>
      </rPr>
      <t>Sin Información,Sin Justificación</t>
    </r>
  </si>
  <si>
    <r>
      <t xml:space="preserve">A2.C3 Porcentaje de solicitudes autorizadas por la Unidad Técnica Auxiliar.
</t>
    </r>
    <r>
      <rPr>
        <sz val="10"/>
        <rFont val="Soberana Sans"/>
        <family val="2"/>
      </rPr>
      <t xml:space="preserve"> Causa : El avance de la meta es menor es a lo programado, por lo siguiente:  1.- Se recibieron más solicitudes de las programadas. 2.- El volumen mayor de solicitudes recibidas se realizó a finales del semestre lo que ocasiono que la Unidad Técnica Auxiliar se viera saturada durante el proceso de dictaminación y por ello no se pudo dictaminar el número de solicitudes programadas, quedando pendientes de dictaminar 52 solicitudes para alcanzar la meta programada. Efecto: El decremento de la meta impactó directamente en el número de productores apoyados durante el primer semestre, efecto que será subsanado para el segundo semestre. Otros Motivos:</t>
    </r>
  </si>
  <si>
    <r>
      <t xml:space="preserve">A1.C5 Tasa de variación del número de operaciones beneficiadas al amparo del Componente de Acceso al Financiamiento, respecto al año base.
</t>
    </r>
    <r>
      <rPr>
        <sz val="10"/>
        <rFont val="Soberana Sans"/>
        <family val="2"/>
      </rPr>
      <t>Sin Información,Sin Justificación</t>
    </r>
  </si>
  <si>
    <r>
      <t xml:space="preserve">A3.C4 Tasa de Variación del número de beneficiarios de los proyectos apoyados 
</t>
    </r>
    <r>
      <rPr>
        <sz val="10"/>
        <rFont val="Soberana Sans"/>
        <family val="2"/>
      </rPr>
      <t xml:space="preserve"> Causa : Durante el primer semestre del 2018, la Dirección General de Zonas Tropicales (DGZT) apoyó proyectos de Capacitación y Extensionismo, los cuales implican a un mayor número de beneficiarios ya que consisten en la enseñanza de prácticas y conocimientos a productores agropecuarios de la región Sur Sureste, quienes tienen carácter de beneficiarios finales.   Efecto: Se apoyó a un mayor número beneficiarios de los previstos durante el primer semestre, sin embargo no se considera que tenga un impacto sustancial en la meta para el siguiente periodo ya que no se tiene previsto apoyar más solicitudes bajo el concepto de Capacitación y Extensionismo durante el segundo semestre.    Otros Motivos:</t>
    </r>
  </si>
  <si>
    <r>
      <t xml:space="preserve">A4.C4 Tasa de Variación del número de proyectos apoyados por cada 100 mdp de incentivo con respecto al año anterior.
</t>
    </r>
    <r>
      <rPr>
        <sz val="10"/>
        <rFont val="Soberana Sans"/>
        <family val="2"/>
      </rPr>
      <t xml:space="preserve"> Causa : El articulo 32 de las Reglas de Operación del Componente contempla la posibilidad de admitir solicitudes presentadas por personas morales a nombre de terceras personas físicas, para actuar como  dispersoras de los incentivos autorizados entre dichas personas físicas. Durante este semestre, adicionalmente a las solicitudes tradicionales, la DGZT apoyó 3 dispersoras que engloban las solicitudes/proyectos de 15 mil personas.    Efecto: Se apoyaron 8 proyectos más de los programados, sin embargo ello impacto en un sobrecumplimiento de la meta del  272% que se traduce en el apoyo de 15 mil personas no contempladas.   Otros Motivos:</t>
    </r>
  </si>
  <si>
    <r>
      <t xml:space="preserve">A6.C2 Porcentaje de solicitudes recibidas por el Componente de Activos Productivos y Agrologística
</t>
    </r>
    <r>
      <rPr>
        <sz val="10"/>
        <rFont val="Soberana Sans"/>
        <family val="2"/>
      </rPr>
      <t xml:space="preserve"> Causa : Se aperturó más de un periodo de ventanillas para el Componente, y se tuvo una mayor demanda a la originalmente programada para este periodo, con la finalidad de ampliar la atención a las diversas organizaciones campesinas del sector.   Efecto: Se tendrá un mayor universo de solicitudes de proyectos para dar valor agregado a las actividades primarias.   Otros Motivos:</t>
    </r>
  </si>
  <si>
    <r>
      <t xml:space="preserve">A7.1.C2 Porcentaje de Unidades Económicas Rurales con incentivos económicos entregados para activos productivos y agrologística
</t>
    </r>
    <r>
      <rPr>
        <sz val="10"/>
        <rFont val="Soberana Sans"/>
        <family val="2"/>
      </rPr>
      <t>Sin Información,Sin Justificación</t>
    </r>
  </si>
  <si>
    <r>
      <t xml:space="preserve">A7.2.C2 Promedio de la inversión total por Unidad Económica Rural apoyada con incentivos económicos para activos productivos y agrologística
</t>
    </r>
    <r>
      <rPr>
        <sz val="10"/>
        <rFont val="Soberana Sans"/>
        <family val="2"/>
      </rPr>
      <t>Sin Información,Sin Justificación</t>
    </r>
  </si>
  <si>
    <r>
      <t xml:space="preserve">A5.C1 Porcentaje de incentivos económicos entregados por el Componente para el fomento en el uso de instrumentos de administración de riesgos de mercado.
</t>
    </r>
    <r>
      <rPr>
        <sz val="10"/>
        <rFont val="Soberana Sans"/>
        <family val="2"/>
      </rPr>
      <t>Sin Información,Sin Justificación</t>
    </r>
  </si>
  <si>
    <r>
      <t xml:space="preserve">A8.C6 Porcentaje de solicitudes dictaminadas positivas 
</t>
    </r>
    <r>
      <rPr>
        <sz val="10"/>
        <rFont val="Soberana Sans"/>
        <family val="2"/>
      </rPr>
      <t>Sin Información,Sin Justificación</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</si>
  <si>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</si>
  <si>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</si>
  <si>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</si>
  <si>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</si>
  <si>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</si>
  <si>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</si>
  <si>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</si>
  <si>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</si>
  <si>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</si>
  <si>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r>
      <t>P2 Porcentaje de Unidades Económicas Rurales Agrícolas apoyadas por el programa en el año t</t>
    </r>
    <r>
      <rPr>
        <i/>
        <sz val="10"/>
        <color indexed="30"/>
        <rFont val="Soberana Sans"/>
      </rPr>
      <t xml:space="preserve">
</t>
    </r>
  </si>
  <si>
    <t>(Número de Unidades Económicas Rurales Agrícolas apoyadas por el programa en el año t/ Total de Unidades Económicas Rurales Agrícolas)*100</t>
  </si>
  <si>
    <t>A C1.1 Incentivos económicos otorgados para incrementar la capitalización productiva agrícola en las UERAS.</t>
  </si>
  <si>
    <r>
      <t>C1.1 Tasa de variación de UERA con incentivos económicos otorgados para  la modernización de  maquinaria y equipo</t>
    </r>
    <r>
      <rPr>
        <i/>
        <sz val="10"/>
        <color indexed="30"/>
        <rFont val="Soberana Sans"/>
      </rPr>
      <t xml:space="preserve">
</t>
    </r>
  </si>
  <si>
    <t>[((Número de UERA con incentivos económicos otorgados para la adquisición de maquinaria y equipo  en el periodo tn / Número de UERA con incentivos económicos otorgados para la adquisición de maquinaria y equipos  en el periodo t0 ) -1) * 100]</t>
  </si>
  <si>
    <t>B C4.2 Incentivos económicos otorgados para el mejoramiento productivo del suelo y agua en las UERA beneficiadas.</t>
  </si>
  <si>
    <r>
      <t>C4.2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</si>
  <si>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</si>
  <si>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C C5. Incentivos económicos entregados a las Unidades Económicas Rurales (UERA) para invertir en actividades productivas</t>
  </si>
  <si>
    <r>
      <t>C5.1 Porcentaje de beneficiarios satisfechos por el componente PROAGRO Productivo</t>
    </r>
    <r>
      <rPr>
        <i/>
        <sz val="10"/>
        <color indexed="30"/>
        <rFont val="Soberana Sans"/>
      </rPr>
      <t xml:space="preserve">
</t>
    </r>
  </si>
  <si>
    <t>(Número de beneficiarios encuestados satisfechos en t/ Total de beneficiarios encuestados en t) * 100</t>
  </si>
  <si>
    <t>Gestión-Calidad-Semestral</t>
  </si>
  <si>
    <r>
      <t>C5.2 Porcentaje de incentivos económicos acreditados por las UERA para invertir en actividades productivas</t>
    </r>
    <r>
      <rPr>
        <i/>
        <sz val="10"/>
        <color indexed="30"/>
        <rFont val="Soberana Sans"/>
      </rPr>
      <t xml:space="preserve">
</t>
    </r>
  </si>
  <si>
    <t>(Monto de incentivos acreditados por las UERA para invertir en actividades productivas/Monto total de incentivos dispersados por el PROAGRO)*100</t>
  </si>
  <si>
    <t>D C3. Incentivos económicos entregados a personas morales dedicadas a investigación, innovación y desarrollo tecnológico en las UERA</t>
  </si>
  <si>
    <r>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r>
    <r>
      <rPr>
        <i/>
        <sz val="10"/>
        <color indexed="30"/>
        <rFont val="Soberana Sans"/>
      </rPr>
      <t xml:space="preserve">
</t>
    </r>
  </si>
  <si>
    <t xml:space="preserve">(Número de proyectos apoyados con incentivos económicos / Número de proyectos ingresados)*100.    </t>
  </si>
  <si>
    <t>E C1.2 Incentivos económicos entregados para fomentar la capitalización productiva agrícola en las UERAS.</t>
  </si>
  <si>
    <r>
      <t>C1.2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</si>
  <si>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</si>
  <si>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F C2. Incentivos económicos entregados a las UERA para el impulso de estrategias integrales de Política Pública Agrícola.</t>
  </si>
  <si>
    <r>
      <t>C2.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</si>
  <si>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</si>
  <si>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G C4.1 Incentivos económicos otorgados para el mejoramiento productivo del suelo y agua en las UERA beneficiadas.</t>
  </si>
  <si>
    <r>
      <t>C4.1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</si>
  <si>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</si>
  <si>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H C6.1 Hectáreas apoyadas para la implementación de tecnologías y prácticas sustentables que permitan mejorar las condiciones productivas del suelo.</t>
  </si>
  <si>
    <r>
      <t xml:space="preserve">C6.1 Porcentaje de hectáreas apoyadas para la implementación de tecnologías y buenas practicas sustentables que permitan mejorar las condiciones productivas del suelo </t>
    </r>
    <r>
      <rPr>
        <i/>
        <sz val="10"/>
        <color indexed="30"/>
        <rFont val="Soberana Sans"/>
      </rPr>
      <t xml:space="preserve">
</t>
    </r>
  </si>
  <si>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</si>
  <si>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I C6.2 Unidades económicas rurales agrícolas implementan el uso y aprovechamiento de energías renovables</t>
  </si>
  <si>
    <r>
      <t>C6.2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</si>
  <si>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</si>
  <si>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A 1 A1.C1.1 Dictamen de solicitudes en mecanización y equipamiento para el otorgamiento de incentivos económicos.</t>
  </si>
  <si>
    <r>
      <t>A1.C1.1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</si>
  <si>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</si>
  <si>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A 2 A1.C1.2 Dictamen de solicitudes en Agroproducción para el otorgamiento de incentivos económicos</t>
  </si>
  <si>
    <r>
      <t>A1.C1.2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</si>
  <si>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</si>
  <si>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B 3 A1.C6.1 Apoyo a proyectos para el uso y aprovechamiento de energías renovables</t>
  </si>
  <si>
    <r>
      <t>A1.C6.1 Porcentaje de proyectos apoyados para el uso y aprovechamiento de energías renovables</t>
    </r>
    <r>
      <rPr>
        <i/>
        <sz val="10"/>
        <color indexed="30"/>
        <rFont val="Soberana Sans"/>
      </rPr>
      <t xml:space="preserve">
</t>
    </r>
  </si>
  <si>
    <t xml:space="preserve">(Número de proyectos apoyados para el uso y aprovechamiento de energías renovables /número de proyectos solicitados)*100  </t>
  </si>
  <si>
    <t>B 4 A1.C6.2 Apoyo a proyectos que implementen prácticas y tecnologías sustentables que permitan mejorar las condiciones productivas del suelo.</t>
  </si>
  <si>
    <r>
      <t>A1.C6.2  Porcentaje de proyectos apoyados para la implementación de tecnologías y prácticas sustentables que permitan mejorar las condiciones productivas del suelo.</t>
    </r>
    <r>
      <rPr>
        <i/>
        <sz val="10"/>
        <color indexed="30"/>
        <rFont val="Soberana Sans"/>
      </rPr>
      <t xml:space="preserve">
</t>
    </r>
  </si>
  <si>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</si>
  <si>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D 5 A1.C4.1 Proyectos apoyados por el Componente Tecnificación de Riego</t>
  </si>
  <si>
    <r>
      <t>A1.C4.1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</si>
  <si>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</si>
  <si>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t>E 6 A1.C2 Instrumentación de proyectos de infraestructura de cubierta de superficies.</t>
  </si>
  <si>
    <r>
      <t>A1.C2 Porcentaje de proyectos de infraestructura de cubierta de superficies apoyados</t>
    </r>
    <r>
      <rPr>
        <i/>
        <sz val="10"/>
        <color indexed="30"/>
        <rFont val="Soberana Sans"/>
      </rPr>
      <t xml:space="preserve">
</t>
    </r>
  </si>
  <si>
    <t>(Número de proyectos de infraestructura de cubierta de superficie pagados/Número total de proyectos de infraestructura de cubierta de superficie con dictamen positivo) *100</t>
  </si>
  <si>
    <t>E 7 A2.C2 Porcentaje de solicitudes dictaminadas positivas para la organización de Comités Sistemas Producto.</t>
  </si>
  <si>
    <r>
      <t>A2.C2 Porcentaje de solicitudes dictaminadas positivas para los Comités Nacionales Sistemas Producto.</t>
    </r>
    <r>
      <rPr>
        <i/>
        <sz val="10"/>
        <color indexed="30"/>
        <rFont val="Soberana Sans"/>
      </rPr>
      <t xml:space="preserve">
</t>
    </r>
  </si>
  <si>
    <t>(Número de solicitudes dictaminadas positivas para el fortalecimiento de los Comités Nacionales Sistema Producto/Número total de solicitudes recibidas para el fortalecimiento de los Comités Nacionales Sistema Producto) *100</t>
  </si>
  <si>
    <t>F 8 A3.C2 Instrumentación de proyectos de infraestructura de producción integral</t>
  </si>
  <si>
    <r>
      <t>A3.C2  Porcentaje de proyectos de Infraestructura y Equipamiento para Instalaciones Productivas con incentivos económicos entregados</t>
    </r>
    <r>
      <rPr>
        <i/>
        <sz val="10"/>
        <color indexed="30"/>
        <rFont val="Soberana Sans"/>
      </rPr>
      <t xml:space="preserve">
</t>
    </r>
  </si>
  <si>
    <t>(Número de proyectos en equipamiento e infraestructura para instalaciones productivas con incentivos económicos entregados /Número de proyectos en equipamiento e infraestructura para instalaciones productivas con con dictamen positivo) *100</t>
  </si>
  <si>
    <t>F 9 A4.C2 Porcentaje de proyectos de infraestructura y equipo para modelos asociativos instrumentados.</t>
  </si>
  <si>
    <r>
      <t>A4.C2 Porcentaje de proyectos de infraestructura y equipo para modelos asociativos de impacto regional con incentivos económicos entregados.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</si>
  <si>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</si>
  <si>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F 10 A1.C3 Aprobación de proyectos en función de la Agenda nacional de innovación.</t>
  </si>
  <si>
    <r>
      <t>Porcentaje de proyectos dictaminados para el desarrollo de investigación, innovación, desarrollo tecnológico, transferencia de tecnología para incrementar la productividad en las UERA y/o promover la conservación de los recursos Fitogenéticos nativos.</t>
    </r>
    <r>
      <rPr>
        <i/>
        <sz val="10"/>
        <color indexed="30"/>
        <rFont val="Soberana Sans"/>
      </rPr>
      <t xml:space="preserve">
</t>
    </r>
  </si>
  <si>
    <t xml:space="preserve">(Número de proyectos dictaminados en el año t/ Número de proyectos ingresados en el año t)*100    </t>
  </si>
  <si>
    <t>G 11 A1.C5 Dispersión de incentivos económicos a productores agrícolas del PROAGRO productivo</t>
  </si>
  <si>
    <r>
      <t>A1.C5 Porcentaje de incentivos económicos dispersados por el PROAGRO Productivo en el año calendario t.</t>
    </r>
    <r>
      <rPr>
        <i/>
        <sz val="10"/>
        <color indexed="30"/>
        <rFont val="Soberana Sans"/>
      </rPr>
      <t xml:space="preserve">
</t>
    </r>
  </si>
  <si>
    <t>(Incentivos económicos dispersados en el año calendario t / Total de incentivos económicos presupuestados para el año calendario t) * 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</si>
  <si>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</si>
  <si>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</si>
  <si>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P2 Porcentaje de Unidades Económicas Rurales Agrícolas apoyadas por el programa en el año t
</t>
    </r>
    <r>
      <rPr>
        <sz val="10"/>
        <rFont val="Soberana Sans"/>
        <family val="2"/>
      </rPr>
      <t>Sin Información,Sin Justificación</t>
    </r>
  </si>
  <si>
    <r>
      <t xml:space="preserve">C1.1 Tasa de variación de UERA con incentivos económicos otorgados para  la modernización de  maquinaria y equipo
</t>
    </r>
    <r>
      <rPr>
        <sz val="10"/>
        <rFont val="Soberana Sans"/>
        <family val="2"/>
      </rPr>
      <t>Sin Información,Sin Justificación</t>
    </r>
  </si>
  <si>
    <r>
      <t xml:space="preserve">C4.2 Porcentaje de ahorro del volumen de agua utilizado en predios beneficiados
</t>
    </r>
    <r>
      <rPr>
        <sz val="10"/>
        <rFont val="Soberana Sans"/>
        <family val="2"/>
      </rPr>
      <t>Sin Información,Sin Justificación</t>
    </r>
  </si>
  <si>
    <r>
      <t xml:space="preserve">C5.1 Porcentaje de beneficiarios satisfechos por el componente PROAGRO Productivo
</t>
    </r>
    <r>
      <rPr>
        <sz val="10"/>
        <rFont val="Soberana Sans"/>
        <family val="2"/>
      </rPr>
      <t xml:space="preserve"> Causa : De las encuestas aplicadas en el primer semestre, 84 encuestas no fueron atendidas debido a que no se encontró al productor o no quiso contestar; lo anterior, modifica el denominador de 3,682 a 3,598 encuestas a aplicar en 2018.  Avance. Con cifras preliminares al primer semestre de 2018, se han aplicado 1,916 encuestas del ciclo otoño-invierno, las cuales arrojaron los siguientes resultados: a). 1,594 productores manifestaron estar satisfechos con el PROAGRO Productivo (83.2% del total de encuestas aplicadas al periodo) cifra que representa un avance de 44.30% respecto a la meta anual modificada. b). 199 productores manifestaron tener una satisfacción regular (10.4% del total encuestado). c).- 123 productores manifestaron no estar satisfechos, principalmente por el monto entregado y la oportunidad con que se  entrega del incentivo (7.3% del total encuestado) El avance registrado se debe a que durante el primer semestre se agilizaron las actividades  la supervisión, lo que permitió encuestar en tiempo a un mayor número de productores del ciclo otoño-invierno 17-18. Efecto: Con la aplicación de la encuesta se conoce el porcentaje de satisfacción en la calidad de la atención proporcionada, de la normatividad y la oportunidad de la entrega del incentivo; con el avance alcanzado se observa que el Componente PROAGRO Productivo cumple con los fines normativos, administrativos y de operación.  El porcentaje de productores insatisfechos (7.3%) se analizará y se considerará para el proceso normativo y operativo del ejercicio fiscal 2019.  Otros Motivos:</t>
    </r>
  </si>
  <si>
    <r>
      <t xml:space="preserve">C5.2 Porcentaje de incentivos económicos acreditados por las UERA para invertir en actividades productivas
</t>
    </r>
    <r>
      <rPr>
        <sz val="10"/>
        <rFont val="Soberana Sans"/>
        <family val="2"/>
      </rPr>
      <t xml:space="preserve"> Causa : Con cifras preliminares al tercer trimestre, se ha acreditado el 84.53% de los incentivos económicos dispersados a los productores en el 2018, cifra superior en 14.53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 Efecto: 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  Otros Motivos:</t>
    </r>
  </si>
  <si>
    <r>
      <t xml:space="preserve">C3. Porcentaje de proyectos apoyadas con incentivos económicos para el desarrollo de investigación, innovación, desarrollo tecnológico, transferencia de tecnología para incrementar la productividad en las UERA y/o promover la conservación de los recursos Fitogenéticos nativos.
</t>
    </r>
    <r>
      <rPr>
        <sz val="10"/>
        <rFont val="Soberana Sans"/>
        <family val="2"/>
      </rPr>
      <t xml:space="preserve"> Causa : El incumplimiento de la meta se debe a: 1) Una disminución en el total de solicitudes recibidas y de solicitudes autorizadas al primer semestre; debido a fallas técnicas en la estructura del Sistema Único de Registro de Información (SURI) de la SAGARPA (periodo de solventan del 13 al 27 de marzo)  2) Y a un retraso en la ministración de recursos a la Instancia Ejecutora, ambos en comparación con lo programado.  Derivado de ello al momento no se cuenta con proyectos apoyados.     Se modifico el denominador, toda vez que las solicitudes recibidas por parte de los solicitantes fue menor (de 2200 a 1611) a lo programado por la UR; asimismo, el total de solicitudes dictaminadas fue menor al programado Efecto: Es importante mencionar que el el indicador programado al mes de junio sera cumplido en el mes de julio y que al final del ejercicio fiscal, este incumplimiento no afectara en el cumplimiento de la meta anual programada. Otros Motivos:</t>
    </r>
  </si>
  <si>
    <r>
      <t xml:space="preserve">C1.2 Porcentaje de UERA con incentivos económicos entregados para incrementar el nivel tecnológico de los cultivos
</t>
    </r>
    <r>
      <rPr>
        <sz val="10"/>
        <rFont val="Soberana Sans"/>
        <family val="2"/>
      </rPr>
      <t xml:space="preserve"> Causa : Por un error inicial se registró 200,000 en el dato del denominador, siendo este hectáreas y no UERAS; sin embargo, el dato correcto corresponde a 50,000 UERAS (misma que en la meta de Enero-Mayo); aunado a ello y dado que la demanda disminuyó, sólo se considerarán 195,000 UERAS con dictamen positivo. Hecha la aclaración, con los datos correctos, la meta tuvo una variación mínima por encima de lo esperado. Efecto: Respecto a los datos correctos, al presentarse una variación mínima, no se cuantifican efectos.  Otros Motivos:</t>
    </r>
  </si>
  <si>
    <r>
      <t xml:space="preserve">C2. Porcentaje de UERA con incentivos económicos entregados para incrementar la infraestructura, equipo y servicios en las cadenas de valor.
</t>
    </r>
    <r>
      <rPr>
        <sz val="10"/>
        <rFont val="Soberana Sans"/>
        <family val="2"/>
      </rPr>
      <t>Sin Información,Sin Justificación</t>
    </r>
  </si>
  <si>
    <r>
      <t xml:space="preserve">C4.1  Porcentaje de superficie tecnificada en el año n con respecto a la superficie programada en el sexenio
</t>
    </r>
    <r>
      <rPr>
        <sz val="10"/>
        <rFont val="Soberana Sans"/>
        <family val="2"/>
      </rPr>
      <t>Sin Información,Sin Justificación</t>
    </r>
  </si>
  <si>
    <r>
      <t xml:space="preserve">C6.1 Porcentaje de hectáreas apoyadas para la implementación de tecnologías y buenas practicas sustentables que permitan mejorar las condiciones productivas del suelo 
</t>
    </r>
    <r>
      <rPr>
        <sz val="10"/>
        <rFont val="Soberana Sans"/>
        <family val="2"/>
      </rPr>
      <t xml:space="preserve"> Causa : Cumplimiento de la meta de acuerdo con lo programado. Efecto: Cumplimiento de la meta de acuerdo con lo programado. Otros Motivos:</t>
    </r>
  </si>
  <si>
    <r>
      <t xml:space="preserve">C6.2 Porcentaje de unidades económicas rurales agrícolas apoyadas para el uso y aprovechamiento de energías renovables
</t>
    </r>
    <r>
      <rPr>
        <sz val="10"/>
        <rFont val="Soberana Sans"/>
        <family val="2"/>
      </rPr>
      <t xml:space="preserve"> Causa : Cumplimiento de la meta de acuerdo con lo programado. Efecto: Cumplimiento de la meta de acuerdo con lo programado. Otros Motivos:</t>
    </r>
  </si>
  <si>
    <r>
      <t xml:space="preserve">A1.C1.1 Porcentaje de solicitudes para la modernización de maquinaria y equipo dictaminadas positivas
</t>
    </r>
    <r>
      <rPr>
        <sz val="10"/>
        <rFont val="Soberana Sans"/>
        <family val="2"/>
      </rPr>
      <t xml:space="preserve"> Causa : El cierre de ventanillas en el mes de enero y la inscripción en línea, permitió revisar y dictaminar una mayor cantidad de solicitudes, con lo cual se superó la meta en 1,880 solicitudes dictaminadas positivas más a las programadas. Efecto: Se tiene la posibilidad de apoyar a los productores en menor tiempo de lo programado lo cual infiere positivamente en sus procesos de producción. Otros Motivos:</t>
    </r>
  </si>
  <si>
    <r>
      <t xml:space="preserve">A1.C1.2 Porcentaje de solicitudes dictaminadas positivas en Agroproducción.
</t>
    </r>
    <r>
      <rPr>
        <sz val="10"/>
        <rFont val="Soberana Sans"/>
        <family val="2"/>
      </rPr>
      <t xml:space="preserve"> Causa : La meta programada fue superada derivad de que se agilizó el proceso de dictaminación de solicitudes para entregar los incentivos en la temporada de siembra. Aunado a ello el número de solicitudes recibidas fue menor al programado, lo que impactó en la meta. Efecto: El efecto es positivo ya que los productores cuentan con los incentivos de acuerdo a los ciclos productivos, con un impacto positivo en su productividad. Otros Motivos:</t>
    </r>
  </si>
  <si>
    <r>
      <t xml:space="preserve">A1.C6.1 Porcentaje de proyectos apoyados para el uso y aprovechamiento de energías renovables
</t>
    </r>
    <r>
      <rPr>
        <sz val="10"/>
        <rFont val="Soberana Sans"/>
        <family val="2"/>
      </rPr>
      <t xml:space="preserve"> Causa : Durante el tercer trimestre, la operación del Componente de Energías Renovables se encuentra en la fase de pago de solicitudes para ello se programaron 100 proyectos, teniendo para este periodo el avance en 669 proyectos, esto se debió a que la demanda fue mayoritaria en proyectos de menor escala y por ende de menor monto de apoyo, así como también hubo una ampliación presupuestal.  Efecto:  Al apoyarse un mayor número de proyectos de menor escala, se logró beneficiar a más productores, que en este caso, son mayoritariamente de alta y muy alta marginación.  Otros Motivos:</t>
    </r>
  </si>
  <si>
    <r>
      <t xml:space="preserve">A1.C6.2  Porcentaje de proyectos apoyados para la implementación de tecnologías y prácticas sustentables que permitan mejorar las condiciones productivas del suelo.
</t>
    </r>
    <r>
      <rPr>
        <sz val="10"/>
        <rFont val="Soberana Sans"/>
        <family val="2"/>
      </rPr>
      <t xml:space="preserve"> Causa : Durante el tercer trimestre, la operación del Incentivo Recuperación de Suelos con degradación agroquímica, principalmente pérdida de fertilidad, se encuentra en la fase de envío de autorizaciones sujeto suficiencia presupuestal y pago de 2,639 solicitudes, al respecto se tuvo un mayor número de solicitudes apoyadas debido a la priorizacion de dar atención a los pequeños productores, cuyas solicitudes son de menor monto de apoyo y que en su mayoría pertenecen a Organizaciones, asimismo derivado de las instrucciones de la Oficialía Mayor a través del Oficio 500.-539 de fecha 12 de septiembre, donde se establece que la fecha límite para el pago de solicitudes será a mas tardar el 15 de octubre, esto implicó que se superará la meta programada derivado de agilizar los pagos. Efecto: Dar atención oportuna a los productores agrícolas, principalmente a los pequeños productores,  e incentivar la recuperación de los suelos a través del uso de tecnologías y prácticas agrícolas sustentables. Otros Motivos:</t>
    </r>
  </si>
  <si>
    <r>
      <t xml:space="preserve">A1.C4.1 Porcentaje de proyectos del Componente de Tecnificación del Riego apoyados respecto al total de proyectos dictaminados positivos
</t>
    </r>
    <r>
      <rPr>
        <sz val="10"/>
        <rFont val="Soberana Sans"/>
        <family val="2"/>
      </rPr>
      <t>Sin Información,Sin Justificación</t>
    </r>
  </si>
  <si>
    <r>
      <t xml:space="preserve">A1.C2 Porcentaje de proyectos de infraestructura de cubierta de superficies apoyados
</t>
    </r>
    <r>
      <rPr>
        <sz val="10"/>
        <rFont val="Soberana Sans"/>
        <family val="2"/>
      </rPr>
      <t xml:space="preserve"> Causa : Muchas de las solicitudes no cumplen con los requisitos establecidos en la normatividad, es por ello que el número de solicitudes dictaminadas positivas es menor a la meta establecida. Aunado a que algunos beneficiarios no han cumplido con los requisitos para el trámite de pago, para ser entregado el incentivo, lo que no permite alcanzar la meta programada para este periodo. Efecto: La meta se ve afectada al decrecer, ello podría impactar en el logro de la meta del incentivo. Otros Motivos:</t>
    </r>
  </si>
  <si>
    <r>
      <t xml:space="preserve">A2.C2 Porcentaje de solicitudes dictaminadas positivas para los Comités Nacionales Sistemas Producto.
</t>
    </r>
    <r>
      <rPr>
        <sz val="10"/>
        <rFont val="Soberana Sans"/>
        <family val="2"/>
      </rPr>
      <t>Sin Información,Sin Justificación</t>
    </r>
  </si>
  <si>
    <r>
      <t xml:space="preserve">A3.C2  Porcentaje de proyectos de Infraestructura y Equipamiento para Instalaciones Productivas con incentivos económicos entregados
</t>
    </r>
    <r>
      <rPr>
        <sz val="10"/>
        <rFont val="Soberana Sans"/>
        <family val="2"/>
      </rPr>
      <t xml:space="preserve"> Causa : Los trabajos de revisión de los proyectos con solicitudes de apoyo, permitieron la dictaminación positiva de más solicitudes; sin embargo, algunos beneficiarios no han cumplido con los requsitos para el trámite de pago, para ser entregado el incentivo, lo que no permite alcanzar la meta programada para este periodo. Efecto: La meta se ve afectada al decrecer, ello podría impactar en el logro de la meta de los incentivos. Otros Motivos:</t>
    </r>
  </si>
  <si>
    <r>
      <t xml:space="preserve">A4.C2 Porcentaje de proyectos de infraestructura y equipo para modelos asociativos de impacto regional con incentivos económicos entregados.
</t>
    </r>
    <r>
      <rPr>
        <sz val="10"/>
        <rFont val="Soberana Sans"/>
        <family val="2"/>
      </rPr>
      <t xml:space="preserve"> Causa : Los trabajos de revisión de los proyectos con solicitudes de apoyo, permitieron la dictaminación positiva de más solicitudes; sin embargo, algunos beneficiarios no han cumplido con los requisitos para el trámite de pago, para ser entregado el incentivo,  lo que no permite alcanzar la meta programada para este periodo. Efecto: La meta se ve afectada al decrecer, ello podría impactar en el logro de la meta de los incentivo. Otros Motivos:</t>
    </r>
  </si>
  <si>
    <r>
      <t xml:space="preserve">Porcentaje de proyectos dictaminados para el desarrollo de investigación, innovación, desarrollo tecnológico, transferencia de tecnología para incrementar la productividad en las UERA y/o promover la conservación de los recursos Fitogenéticos nativos.
</t>
    </r>
    <r>
      <rPr>
        <sz val="10"/>
        <rFont val="Soberana Sans"/>
        <family val="2"/>
      </rPr>
      <t xml:space="preserve"> Causa : El incumplimiento de la meta se debe a: 1) Una disminución en el total de solicitudes recibidas y de solicitudes autorizadas al primer semestre; debido a fallas técnicas en la estructura del Sistema Único de Registro de Información (SURI) de la SAGARPA (periodo de solventan del 13 al 27 de marzo)  2) Y a un retraso en la ministración de recursos a la Instancia Ejecutora, ambos en comparación con lo programado.  Derivado de ello al momento no se cuenta con proyectos apoyados.  Se modifico el denominador, toda vez que las solicitudes recibidas por parte de los solicitantes fue menor (de 2200 a 1611) a lo programado por la UR; asimismo, el total de solicitudes dictaminadas fue menor al programado Efecto: Retraso en el proceso de entrega de los incentivos. Es importante mencionar que el el indicador programado al mes de junio sera cumplido en el mes de julio y que al final del ejercicio fiscal, este incumplimiento no afectara en el cumplimiento de la meta anual programada. Otros Motivos:</t>
    </r>
  </si>
  <si>
    <r>
      <t xml:space="preserve">A1.C5 Porcentaje de incentivos económicos dispersados por el PROAGRO Productivo en el año calendario t.
</t>
    </r>
    <r>
      <rPr>
        <sz val="10"/>
        <rFont val="Soberana Sans"/>
        <family val="2"/>
      </rPr>
      <t xml:space="preserve"> Causa : Con cifras preliminares al tercer trimestre, se dispersó el 99.91% de los incentivos económicos del 2018 para el desarrollo de actividades productivas en los predios del PROAGRO Productivo.   El 00.09% se debió a reintegros presupuestales derivados de pagos no exitosos a productores, los cuales fueron registrados al cierre del mes de septiembre.  Se generó una reducción al Componente por $15,000,000 de pesos derivada de reorientaciones por presiones de gasto por parte de la Secretaría y así mismo se generó una ampliación de $5,424,282.56 pesos de recursos del tipo de gasto 7 a 1 en el mismo Componente, dando una disminución neta de $9,575,717.44 pesos. Efecto: El calendario presupuestal permitió dispersar el 99.91% del monto de recursos a productores, incentivando una superficie aproximada de más de 8 millones de hectáreas  para el desarrollo de actividades productivas en más de 2 millones de predios del PROAGRO en beneficio de 1.6 millones de productores, coadyuvando al cumplimiento del objetivo del Programa de Fomento a la Agricultura de incrementar la producción y productividad agrícola.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</si>
  <si>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</si>
  <si>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</si>
  <si>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</si>
  <si>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</si>
  <si>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</si>
  <si>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</si>
  <si>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</si>
  <si>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A 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</si>
  <si>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C5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</si>
  <si>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</si>
  <si>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B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</si>
  <si>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</si>
  <si>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</si>
  <si>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C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</si>
  <si>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</si>
  <si>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</si>
  <si>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D C4. Incentivos otorgados en las unidades de producción pecuaria para incrementar la productividad de las especies pecuarias.</t>
  </si>
  <si>
    <r>
      <t>C4.2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</si>
  <si>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</si>
  <si>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r>
      <t>C4.1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</si>
  <si>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</si>
  <si>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t>E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</si>
  <si>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</si>
  <si>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</si>
  <si>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A 1 A5.C5 Dictamen de solicitudes para el otorgamiento de incentivos para Sustentabilidad Pecuaria</t>
  </si>
  <si>
    <r>
      <t>A5.C5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</si>
  <si>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</si>
  <si>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t>C 2 A4.C4 Dictamen de solicitudes del PROGAN Productivo para el otorgamiento de incentivos económicos.</t>
  </si>
  <si>
    <r>
      <t>A1.C4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</si>
  <si>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</si>
  <si>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C 3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</si>
  <si>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</si>
  <si>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</si>
  <si>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D 4 A1.C1 Dictamen de solicitudes para el otorgamiento de incentivos económicos para capitalización productiva pecuaria</t>
  </si>
  <si>
    <r>
      <t>A1.C1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</si>
  <si>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</si>
  <si>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E 5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</si>
  <si>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</si>
  <si>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</si>
  <si>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r>
      <t xml:space="preserve">P.1. Índice de productividad de la población ocupada en el Subsector Agroalimentario Ganadero.
</t>
    </r>
    <r>
      <rPr>
        <sz val="10"/>
        <rFont val="Soberana Sans"/>
        <family val="2"/>
      </rPr>
      <t>Sin Información,Sin Justificación</t>
    </r>
  </si>
  <si>
    <r>
      <t xml:space="preserve">C5 Porcentaje de Unidades Económicas  Pecuarias con incentivos económicos para sustentabilidad pecuaria.  
</t>
    </r>
    <r>
      <rPr>
        <sz val="10"/>
        <rFont val="Soberana Sans"/>
        <family val="2"/>
      </rPr>
      <t xml:space="preserve"> Causa : Se ha realizado el pago de 23.8 mdp con recursos del ejercicio fiscal 2018 que corresponden a 652 solicitudes dictaminadas positivas y autorizadas en 2017, debido a que por motivos de insuficiencia presupuestal no pudieron ser pagadas con recursos del ejercicio fiscal 2017.      El denominador incluye además las cifras preliminares del SURI (Sistema Único de Registro de Información), al 29 de junio de 2018 y debido a que aún se encuentran activas las etapas de dictaminación, estas cifras pueden cambiar. Asimismo, incluye las cifras estimadas por FIRA (Fideicomisos Instituidos en Relación con la Agricultura) Efecto: Desfase en el pago de solicitudes dictaminadas positivas y autorizadas que ingresaron en 2018. Otros Motivos:</t>
    </r>
  </si>
  <si>
    <r>
      <t xml:space="preserve">C1 Porcentaje de Unidades Económicas Pecuarias con incentivos económicos otorgados para capitalización productiva pecuaria.
</t>
    </r>
    <r>
      <rPr>
        <sz val="10"/>
        <rFont val="Soberana Sans"/>
        <family val="2"/>
      </rPr>
      <t xml:space="preserve"> Causa : Se ha realizado el pago de 441.4 mdp con recursos del ejercicio fiscal 2018 que corresponden a 3,790 solicitudes dictaminadas positivas y autorizadas en 2017, debido a que por motivos de insuficiencia presupuestal no pudieron ser pagadas con recursos del ejercicio fiscal 2017.          El denominador incluye además las cifras preliminares del SURI (Sistema Único de Registro de Información), al 29 de junio de 2018 y debido a que aún se encuentran activas las etapas de dictaminación, estas cifras pueden cambiar. Asimismo, incluye las cifras estimadas por FIRA (Fideicomisos Instituidos en Relación con la Agricultura) Efecto: Desfase en el pago de solicitudes dictaminadas positivas y autorizadas que ingresaron en 2018. Otros Motivos:</t>
    </r>
  </si>
  <si>
    <r>
      <t xml:space="preserve">C3 Porcentaje de personas físicas y morales con incentivos económicos entregados para Investigación, Innovación y Desarrollo Tecnológico Pecuario.
</t>
    </r>
    <r>
      <rPr>
        <sz val="10"/>
        <rFont val="Soberana Sans"/>
        <family val="2"/>
      </rPr>
      <t>Sin Información,Sin Justificación</t>
    </r>
  </si>
  <si>
    <r>
      <t xml:space="preserve">C4.2 Porcentaje de Unidades de Producción Pecuaria apoyadas con servicios técnicos.
</t>
    </r>
    <r>
      <rPr>
        <sz val="10"/>
        <rFont val="Soberana Sans"/>
        <family val="2"/>
      </rPr>
      <t xml:space="preserve"> Causa : Comportamiento de la meta conforme a lo programado. Efecto: Comportamiento de la meta conforme a lo programado. Otros Motivos:</t>
    </r>
  </si>
  <si>
    <r>
      <t xml:space="preserve">C4.1 Porcentaje de Unidades de Producción Pecuaria con incentivos económicos otorgados para incrementar la productividad de las especies pecuarias.
</t>
    </r>
    <r>
      <rPr>
        <sz val="10"/>
        <rFont val="Soberana Sans"/>
        <family val="2"/>
      </rPr>
      <t xml:space="preserve"> Causa : Con presupuesto 2018 se llevo a cabo el pago de UPP´s pendientes del año 2017, adicionales a las que se han pagado del año 2018, por ello se tiene un porcentaje de cumplimiento del 101.22% Efecto: El efecto es positivo ya que hay un mayor número de UPP´s apoyadas a las estimadas en la meta. Otros Motivos:</t>
    </r>
  </si>
  <si>
    <r>
      <t xml:space="preserve">C2. Porcentaje de Unidades Económicas Pecuarias con incentivos económicos otorgados para Estrategias Integrales para la cadena productiva pecuaria.
</t>
    </r>
    <r>
      <rPr>
        <sz val="10"/>
        <rFont val="Soberana Sans"/>
        <family val="2"/>
      </rPr>
      <t xml:space="preserve"> Causa : Se ha realizado el pago de 79.1 mdp con recursos del ejercicio fiscal 2018 que corresponden a 2,244 solicitudes dictaminadas positivas y autorizadas en 2017, debido a que por motivos de insuficiencia presupuestal no pudieron ser pagadas con recursos del ejercicio fiscal 2017.            El denominador incluye además las cifras preliminares del SURI (Sistema Único de Registro de Información), al 29 de junio de 2018 y debido a que aún se encuentran activas las etapas de dictaminación, estas cifras pueden cambiar. Asimismo, incluye las cifras estimadas por FIRA (Fideicomisos Instituidos en Relación con la Agricultura) Efecto: Desfase en el pago de solicitudes dictaminadas positivas y autorizadas que ingresaron en 2018. Otros Motivos:</t>
    </r>
  </si>
  <si>
    <r>
      <t xml:space="preserve">A5.C5 Porcentaje de solicitudes dictaminadas positivas en apoyo a la sustentabilidad pecuaria.
</t>
    </r>
    <r>
      <rPr>
        <sz val="10"/>
        <rFont val="Soberana Sans"/>
        <family val="2"/>
      </rPr>
      <t xml:space="preserve"> Causa : El numerador incluye cifras preliminares del SURI (Sistema Único de Registro de Información), al 29 de junio de 2018 y debido a que aún se encuentran activa las etapas de dictaminación, estas cifras pueden cambiar. Asimismo, incluye las cifras estimadas por FIRA (Fideicomisos Instituidos en Relación con la Agricultura) Efecto: Desfase en el pago de solicitudes dictaminadas positivas y autorizadas que ingresaron en 2018. Otros Motivos:</t>
    </r>
  </si>
  <si>
    <r>
      <t xml:space="preserve">A1.C4 Porcentaje de solicitudes dictaminadas positivas en el PROGAN Productivo.
</t>
    </r>
    <r>
      <rPr>
        <sz val="10"/>
        <rFont val="Soberana Sans"/>
        <family val="2"/>
      </rPr>
      <t xml:space="preserve"> Causa : Un mayor número de productores de lo estimado cumplieron con los requisitos de elegiblidad para recibir sus apoyos. Efecto: El efecto es positivo ya que se cuenta con un mayor número de solicitudes para dictaminar y apoyar. Otros Motivos:</t>
    </r>
  </si>
  <si>
    <r>
      <t xml:space="preserve">A3.C3 Porcentaje de solicitudes dictaminadas positivas para Investigación, Innovación y Desarrollo Tecnológico  Pecuario.
</t>
    </r>
    <r>
      <rPr>
        <sz val="10"/>
        <rFont val="Soberana Sans"/>
        <family val="2"/>
      </rPr>
      <t>Sin Información,Sin Justificación</t>
    </r>
  </si>
  <si>
    <r>
      <t xml:space="preserve">A1.C1 Porcentaje de solicitudes dictaminadas positivas para Capitalización productiva pecuaria.
</t>
    </r>
    <r>
      <rPr>
        <sz val="10"/>
        <rFont val="Soberana Sans"/>
        <family val="2"/>
      </rPr>
      <t xml:space="preserve"> Causa : El numerador incluye cifras preliminares del SURI (Sistema Único de Registro de Información), al 29 de junio de 2018 y debido a que aún se encuentran activa las etapas de dictaminación, estas cifras pueden cambiar. Asimismo, incluye las cifras estimadas por FIRA (Fideicomisos Instituidos en Relación con la Agricultura) Efecto: Desfase en el pago de solicitudes dictaminadas positivas y autorizadas que ingresaron en 2018. Otros Motivos:</t>
    </r>
  </si>
  <si>
    <r>
      <t xml:space="preserve">A2.C2 Porcentaje de solicitudes dictaminadas positivas en Estrategias Integrales para la cadena productiva pecuaria.
</t>
    </r>
    <r>
      <rPr>
        <sz val="10"/>
        <rFont val="Soberana Sans"/>
        <family val="2"/>
      </rPr>
      <t xml:space="preserve"> Causa : El numerador incluye cifras preliminares del SURI (Sistema Único de Registro de Información), al 29 de junio de 2018 y debido a que aún se encuentran activa las etapas de dictaminación, estas cifras pueden cambiar. Asimismo, incluye las cifras estimadas por FIRA (Fideicomisos Instituidos en Relación con la Agricultura) Efecto: Desfase en el pago de solicitudes dictaminadas positivas y autorizadas que ingresaron en 2018. Otros Motivos:</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</si>
  <si>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</si>
  <si>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</si>
  <si>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</si>
  <si>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</si>
  <si>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</si>
  <si>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el incremento de producción pesquera y acuícola</t>
  </si>
  <si>
    <r>
      <t>Tasa de crecimiento del valor de la producción pesquera y acuícola</t>
    </r>
    <r>
      <rPr>
        <i/>
        <sz val="10"/>
        <color indexed="30"/>
        <rFont val="Soberana Sans"/>
      </rPr>
      <t xml:space="preserve">
</t>
    </r>
  </si>
  <si>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</si>
  <si>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</si>
  <si>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</si>
  <si>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</si>
  <si>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A C5.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</si>
  <si>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</si>
  <si>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</si>
  <si>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B C2. Incentivos para ordenamiento pesquero y acuícola que contribuyan al aprovechamiento sustentable de los recursos, destinados.</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</si>
  <si>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</si>
  <si>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título para pesca en el año t0) *100</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</si>
  <si>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</si>
  <si>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</si>
  <si>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</si>
  <si>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</si>
  <si>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C2.3 Porcentaje de Unidades de Producción Acuícola registradas a través de los Proyectos de Ordenamiento Acuícola.</t>
    </r>
    <r>
      <rPr>
        <i/>
        <sz val="10"/>
        <color indexed="30"/>
        <rFont val="Soberana Sans"/>
      </rPr>
      <t xml:space="preserve">
</t>
    </r>
  </si>
  <si>
    <t>(Número de unidades de producción acuícola registradas a través de los proyectos de ordenamiento acuícola/ Número total de unidades de producción acuícola) * 100</t>
  </si>
  <si>
    <t>C C3.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</si>
  <si>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</si>
  <si>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</si>
  <si>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D C4. Incentivos a productores pesqueros y acuícolas para su integración productiva, comercial y promoción del consumo de pescados y mariscos, destinados.</t>
  </si>
  <si>
    <r>
      <t>C4.3 Porcentaje de personas que consumen pescados y mariscos de 1-3 veces por mes.</t>
    </r>
    <r>
      <rPr>
        <i/>
        <sz val="10"/>
        <color indexed="30"/>
        <rFont val="Soberana Sans"/>
      </rPr>
      <t xml:space="preserve">
</t>
    </r>
  </si>
  <si>
    <t>(Número de personas que consumen  de 1-3 veces por mes pescados y mariscos/ Total de habitantes en México)*100</t>
  </si>
  <si>
    <r>
      <t>C4.1 Porcentaje de proyectos apoyados para la Transformación y Comercialización de Productos Pesqueros y Acuícolas</t>
    </r>
    <r>
      <rPr>
        <i/>
        <sz val="10"/>
        <color indexed="30"/>
        <rFont val="Soberana Sans"/>
      </rPr>
      <t xml:space="preserve">
</t>
    </r>
  </si>
  <si>
    <t>(Número de proyectos apoyados/Número de proyectos programados a apoyar)*100</t>
  </si>
  <si>
    <r>
      <t>C4.2 Porcentaje de comités sistema producto pesqueros y acuícola apoyados</t>
    </r>
    <r>
      <rPr>
        <i/>
        <sz val="10"/>
        <color indexed="30"/>
        <rFont val="Soberana Sans"/>
      </rPr>
      <t xml:space="preserve">
</t>
    </r>
  </si>
  <si>
    <t>(Número de comités sistemas producto apoyados/Número de comités sistema productivo instalados)*100</t>
  </si>
  <si>
    <t>E C1. Incentivos para incrementar la capitalización de las unidades económicas pesqueras y acuícolas, entregados.</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</si>
  <si>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</si>
  <si>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unidades económicas pesqueras y acuícolas programadas)*100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</si>
  <si>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</si>
  <si>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de unidades económicas pesqueras programadas a apoyar)*100</t>
  </si>
  <si>
    <r>
      <t>C1.4 Porcentaje de unidades económicas pesqueras y acuícolas que reciben incentivos directos para mejorar sus procesos productivos</t>
    </r>
    <r>
      <rPr>
        <i/>
        <sz val="10"/>
        <color indexed="30"/>
        <rFont val="Soberana Sans"/>
      </rPr>
      <t xml:space="preserve">
</t>
    </r>
  </si>
  <si>
    <t xml:space="preserve">(Número de unidades económicas pesqueras y acuícolas que recibieron incentivos en el año t / Número de unidades económicas pesqueras y acuícolas con solicitudes registradas en el año t)*100   </t>
  </si>
  <si>
    <r>
      <t>C1.3 Porcentaje de unidades económicas apoyadas para la adquisición de diesel marino y gasolina ribereña.</t>
    </r>
    <r>
      <rPr>
        <i/>
        <sz val="10"/>
        <color indexed="30"/>
        <rFont val="Soberana Sans"/>
      </rPr>
      <t xml:space="preserve">
</t>
    </r>
  </si>
  <si>
    <t>(Número de unidades económicas apoyadas para la adquisición de diesel marino y gasolina ribereña  /número de unidades económicas programadas a apoyar para la adquisición de diesel marino y gasolina ribereña)*100</t>
  </si>
  <si>
    <r>
      <t>C1.5 Porcentaje de personas vinculadas al sector pesquero y acuícola apoyadas por el incentivo de fortalecimiento de capacidades.</t>
    </r>
    <r>
      <rPr>
        <i/>
        <sz val="10"/>
        <color indexed="30"/>
        <rFont val="Soberana Sans"/>
      </rPr>
      <t xml:space="preserve">
</t>
    </r>
  </si>
  <si>
    <t>(Número de personas vinculadas al sector  pesquero y acuícola apoyadas/Número de personas vinculados al sector pesquero y acuícola programadas)*100</t>
  </si>
  <si>
    <t>A 1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</si>
  <si>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</si>
  <si>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de apoyo dictaminadas/Número total de solicitudes recibidas)*100</t>
  </si>
  <si>
    <t>B 2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</si>
  <si>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</si>
  <si>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dictaminadas para el retiro de embarcaciones / Número de solicitudes de apoyo recibidas) *100</t>
  </si>
  <si>
    <t>B 3 A8.C2.3 Elaboración de proyectos que contribuyen al ordenamiento acuícola.</t>
  </si>
  <si>
    <r>
      <t>A8 - C2.3 Porcentaje de proyectos que contribuyen al ordenamiento acuícola.</t>
    </r>
    <r>
      <rPr>
        <i/>
        <sz val="10"/>
        <color indexed="30"/>
        <rFont val="Soberana Sans"/>
      </rPr>
      <t xml:space="preserve">
</t>
    </r>
  </si>
  <si>
    <t>(Número de proyectos que contribuyen al ordenamiento acuícola/Número de proyectos de ordenamiento acuícola programados)*100</t>
  </si>
  <si>
    <t>B 4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</si>
  <si>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</si>
  <si>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</si>
  <si>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B 5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</si>
  <si>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</si>
  <si>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</si>
  <si>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C 6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</si>
  <si>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</si>
  <si>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de apoyo dictaminadas/ Número total de solicitudes recibidas)* 100</t>
  </si>
  <si>
    <t>D 7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</si>
  <si>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</si>
  <si>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para conocer la frecuencia de consumo de productos acuícolas y pesqueros / total de estudios programados)*100</t>
  </si>
  <si>
    <t>D 8 A11.C4.1/C4.2 Dictaminación de programas anuales de trabajo.</t>
  </si>
  <si>
    <r>
      <t>A11 - C4.1/C4.2 Porcentaje de programas de trabajo dictaminados</t>
    </r>
    <r>
      <rPr>
        <i/>
        <sz val="10"/>
        <color indexed="30"/>
        <rFont val="Soberana Sans"/>
      </rPr>
      <t xml:space="preserve">
</t>
    </r>
  </si>
  <si>
    <t>(Número de programas de trabajo dictaminados/ Número de programas de trabajo programados a dictaminar)*100</t>
  </si>
  <si>
    <t>E 9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</si>
  <si>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</si>
  <si>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en el año t / Número de cursos de capacitación programados en el año t)*100</t>
  </si>
  <si>
    <t>E 10 A3.C1.3 Elaboración de calculo de las cuotas energéticas de diésel marino y gasolina ribereña.</t>
  </si>
  <si>
    <r>
      <t>A3 - C1.3 Porcentaje de cuotas calculadas para la adquisición de diesel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</si>
  <si>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</si>
  <si>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E 11 A1.C1.1 Sustitución de equipos</t>
  </si>
  <si>
    <r>
      <t>A1 - C1.1 Porcentaje de equipos sustituidos pagados</t>
    </r>
    <r>
      <rPr>
        <i/>
        <sz val="10"/>
        <color indexed="30"/>
        <rFont val="Soberana Sans"/>
      </rPr>
      <t xml:space="preserve">
</t>
    </r>
  </si>
  <si>
    <t>(Número de equipos sustituidos/Número total de equipos sustituidos programados)*100</t>
  </si>
  <si>
    <t>E 12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</si>
  <si>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</si>
  <si>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</si>
  <si>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E 13 A5.C1.5 Dictamen de solicitudes de apoyo para fortalecimiento de capacidades</t>
  </si>
  <si>
    <r>
      <t>A5-C1.5 Porcentaje de solicitudes dictaminadas para el incentivo de fortalecimiento de capacidades.</t>
    </r>
    <r>
      <rPr>
        <i/>
        <sz val="10"/>
        <color indexed="30"/>
        <rFont val="Soberana Sans"/>
      </rPr>
      <t xml:space="preserve">
</t>
    </r>
  </si>
  <si>
    <t>(Número de solicitudes dictaminadas apoyadas/Número de solicitudes dictaminadas positivas) *100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</si>
  <si>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</si>
  <si>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</si>
  <si>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C5.1 Porcentaje de proyectos apoyados para la conservación, manejo y aprovechamiento de recursos genéticos en materia de acuacultura.
</t>
    </r>
    <r>
      <rPr>
        <sz val="10"/>
        <rFont val="Soberana Sans"/>
        <family val="2"/>
      </rPr>
      <t xml:space="preserve"> Causa : Retraso en el pago de proyectos debido a recorte presupuestal al incentivo, por lo que se realizó una redistribución de apoyos, orientada a la selección de los proyectos susceptibles de ejecutar. Efecto: Retraso para ejercer los recursos por parte de los beneficiarios, así como la ejecución de los proyectos. Otros Motivos:</t>
    </r>
  </si>
  <si>
    <r>
      <t xml:space="preserve">C2.2 Porcentaje de disminución del esfuerzo pesquero en pesquerías aprovechadas al máximo sustentable.
</t>
    </r>
    <r>
      <rPr>
        <sz val="10"/>
        <rFont val="Soberana Sans"/>
        <family val="2"/>
      </rPr>
      <t>Sin Información,Sin Justificación</t>
    </r>
  </si>
  <si>
    <r>
      <t xml:space="preserve">C2.4 Porcentaje de días de veda cubiertos con acciones de vigilancia realizadas en colaboración con el sector productivo, con respecto al año anterior.
</t>
    </r>
    <r>
      <rPr>
        <sz val="10"/>
        <rFont val="Soberana Sans"/>
        <family val="2"/>
      </rPr>
      <t xml:space="preserve"> Causa : La concertación de 43 Proyectos de Acciones de Inspección y Vigilancia en 8 Entidades Federativas, derivó en un incremento en el porcentaje de días de veda cubiertos con acciones de vigilancia realizadas en colaboración con el sector productivo  Efecto: El efecto es positivo toda vez que se contó con 991 días de veda atendidos con acciones de vigilancia en conjunto con el Sector Productivo. Otros Motivos:</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</si>
  <si>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</si>
  <si>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</si>
  <si>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C3.1 Porcentaje de unidades económicas incentivadas que contribuyen al desarrollo de la acuacultura.
</t>
    </r>
    <r>
      <rPr>
        <sz val="10"/>
        <rFont val="Soberana Sans"/>
        <family val="2"/>
      </rPr>
      <t xml:space="preserve"> Causa : Derivado de un incremento en la demanda de apoyos por parte del sector. Efecto: Incremento de proyectos orientados a fortalecer el desarrollo de la acuacultura. Otros Motivos:</t>
    </r>
  </si>
  <si>
    <r>
      <t xml:space="preserve">C4.3 Porcentaje de personas que consumen pescados y mariscos de 1-3 veces por mes.
</t>
    </r>
    <r>
      <rPr>
        <sz val="10"/>
        <rFont val="Soberana Sans"/>
        <family val="2"/>
      </rPr>
      <t>Sin Información,Sin Justificación</t>
    </r>
  </si>
  <si>
    <r>
      <t xml:space="preserve">C4.1 Porcentaje de proyectos apoyados para la Transformación y Comercialización de Productos Pesqueros y Acuícolas
</t>
    </r>
    <r>
      <rPr>
        <sz val="10"/>
        <rFont val="Soberana Sans"/>
        <family val="2"/>
      </rPr>
      <t>Sin Información,Sin Justificación</t>
    </r>
  </si>
  <si>
    <r>
      <t xml:space="preserve">C4.2 Porcentaje de comités sistema producto pesqueros y acuícola apoyados
</t>
    </r>
    <r>
      <rPr>
        <sz val="10"/>
        <rFont val="Soberana Sans"/>
        <family val="2"/>
      </rPr>
      <t>Sin Información,Sin Justificación</t>
    </r>
  </si>
  <si>
    <r>
      <t xml:space="preserve">C1.2 Porcentaje de unidades económicas pesqueras y acuícolas con incentivos otorgados para obras y estudios.
</t>
    </r>
    <r>
      <rPr>
        <sz val="10"/>
        <rFont val="Soberana Sans"/>
        <family val="2"/>
      </rPr>
      <t xml:space="preserve"> Causa : Sin meta programada para el periodo Efecto: Sin efectos, toda vez que no se programo meta Otros Motivos:</t>
    </r>
  </si>
  <si>
    <r>
      <t xml:space="preserve">C1.1 Porcentaje de unidades económicas pesqueras con incentivos otorgados para la modernización de embarcaciones mayores y menores.
</t>
    </r>
    <r>
      <rPr>
        <sz val="10"/>
        <rFont val="Soberana Sans"/>
        <family val="2"/>
      </rPr>
      <t xml:space="preserve"> Causa : Al primer semestre del ejercicio 2018, en el marco del subcomponente de Modernización de Embarcaciones Menores, se logró apoyar a 9 unidades económica pesqueras derivado de compromisos formalizados en el ejercicio 2017 que fueron pagados con recursos del presente ejercicio. Efecto: Se logra la modernización de las embarcaciones menores en beneficio del sector social de la pesca en México. Otros Motivos:</t>
    </r>
  </si>
  <si>
    <r>
      <t xml:space="preserve">C1.4 Porcentaje de unidades económicas pesqueras y acuícolas que reciben incentivos directos para mejorar sus procesos productivos
</t>
    </r>
    <r>
      <rPr>
        <sz val="10"/>
        <rFont val="Soberana Sans"/>
        <family val="2"/>
      </rPr>
      <t xml:space="preserve"> Causa : Sin meta programada para el periodo Efecto: Sin efectos, toda vez que no se programo meta Otros Motivos:</t>
    </r>
  </si>
  <si>
    <r>
      <t xml:space="preserve">C1.3 Porcentaje de unidades económicas apoyadas para la adquisición de diesel marino y gasolina ribereña.
</t>
    </r>
    <r>
      <rPr>
        <sz val="10"/>
        <rFont val="Soberana Sans"/>
        <family val="2"/>
      </rPr>
      <t xml:space="preserve"> Causa : No obstante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Efecto: Reducción de unidades económicas pesqueras y acuícolas con apoyo para acceder a una cuota energética a precios competitivos. Otros Motivos:</t>
    </r>
  </si>
  <si>
    <r>
      <t xml:space="preserve">C1.5 Porcentaje de personas vinculadas al sector pesquero y acuícola apoyadas por el incentivo de fortalecimiento de capacidades.
</t>
    </r>
    <r>
      <rPr>
        <sz val="10"/>
        <rFont val="Soberana Sans"/>
        <family val="2"/>
      </rPr>
      <t xml:space="preserve"> Causa : Sin meta programada para el periodo Efecto: Sin efectos, toda vez que no se programo meta Otros Motivos:</t>
    </r>
  </si>
  <si>
    <r>
      <t xml:space="preserve">A13 - C5.1 Porcentaje de solicitudes dictaminadas para la conservación, manejo y aprovechamiento de recursos genéticos en materia de acuacultura.
</t>
    </r>
    <r>
      <rPr>
        <sz val="10"/>
        <rFont val="Soberana Sans"/>
        <family val="2"/>
      </rPr>
      <t xml:space="preserve"> Causa : Se cumplió con la meta programada Efecto: Se cumplió con la meta programada Otros Motivos:</t>
    </r>
  </si>
  <si>
    <r>
      <t xml:space="preserve">A7 - C2.2 Porcentaje de solicitudes de apoyo dictaminadas para el retiro de embarcaciones
</t>
    </r>
    <r>
      <rPr>
        <sz val="10"/>
        <rFont val="Soberana Sans"/>
        <family val="2"/>
      </rPr>
      <t xml:space="preserve"> Causa : Sin meta programada para el periodo  Efecto: Sin efectos, toda vez que no se programo meta  Otros Motivos:</t>
    </r>
  </si>
  <si>
    <r>
      <t xml:space="preserve">A8 - C2.3 Porcentaje de proyectos que contribuyen al ordenamiento acuícola.
</t>
    </r>
    <r>
      <rPr>
        <sz val="10"/>
        <rFont val="Soberana Sans"/>
        <family val="2"/>
      </rPr>
      <t xml:space="preserve"> Causa : Se cumplió con la meta programada. Efecto: Se cumplió con la meta programada. Otros Motivos:</t>
    </r>
  </si>
  <si>
    <r>
      <t xml:space="preserve">A6 - C2.1 Porcentaje de proyectos desarrollados que contribuyen en materia de ordenación pesquera.
</t>
    </r>
    <r>
      <rPr>
        <sz val="10"/>
        <rFont val="Soberana Sans"/>
        <family val="2"/>
      </rPr>
      <t xml:space="preserve"> Causa : Incremento en la demanda del sector, lo cual permitió la validación de 14 proyectos de ordenamiento pesquero. Efecto: Mayor atención de población objetivo del incentivo, se encuentran pendientes de pagos 4 proyectos de ordenamiento pesquero, los cuales están sujetos a disponibilidad presupuestal. Otros Motivos:</t>
    </r>
  </si>
  <si>
    <r>
      <t xml:space="preserve">A9 - C2.4 Porcentaje de acciones de vigilancia implementadas para fortalecer el cumplimiento y observancia normativa.
</t>
    </r>
    <r>
      <rPr>
        <sz val="10"/>
        <rFont val="Soberana Sans"/>
        <family val="2"/>
      </rPr>
      <t xml:space="preserve"> Causa : La meta fue superada por la disposición del sector productivo para participar en acciones de prevención en el estado de Michoacan y Nayarit, así como el cuidado de la veda de caracol, camarón y pepino de mar en Yucatán y el cierre de veda de camarón en el Estado de Sinaloa. Efecto: La concertación de 5 proyectos no programados, en aras de la ejecución de acciones de inspección y vigilancia. (1 BC, 1 Nayarit, 2 Sinaloa y 1 Yucatán)  Otros Motivos:</t>
    </r>
  </si>
  <si>
    <r>
      <t xml:space="preserve">A10 - C3.1 Porcentaje de solicitudes dictaminadas  de acuerdo a Lineamientos.
</t>
    </r>
    <r>
      <rPr>
        <sz val="10"/>
        <rFont val="Soberana Sans"/>
        <family val="2"/>
      </rPr>
      <t xml:space="preserve"> Causa : Derivado de la oportunidad con la que los productores ingresaron sus solicitudes, el proceso de dictaminación por parte del personal de la CONAPESCA se realizó de acuerdo a los Lineamientos, lo que permitió que la meta se cumpliera al 100% en el tercer trimestre. Efecto: Se cuenta con un mayor numero de proyectos, que permite realizar una mejor selección en la distribución de apoyos. Otros Motivos:</t>
    </r>
  </si>
  <si>
    <r>
      <t xml:space="preserve">A12 - C4.3 Porcentajes de estudios realizados para conocer la frecuencia de consumo de productos acuícolas y pesqueros
</t>
    </r>
    <r>
      <rPr>
        <sz val="10"/>
        <rFont val="Soberana Sans"/>
        <family val="2"/>
      </rPr>
      <t>Sin Información,Sin Justificación</t>
    </r>
  </si>
  <si>
    <r>
      <t xml:space="preserve">A11 - C4.1/C4.2 Porcentaje de programas de trabajo dictaminados
</t>
    </r>
    <r>
      <rPr>
        <sz val="10"/>
        <rFont val="Soberana Sans"/>
        <family val="2"/>
      </rPr>
      <t xml:space="preserve"> Causa : La meta relativa se sobrepasa debido a que el número de programas de trabajo programados a dictaminar corresponde a las solicitudes ingresadas en el incentivo de desarrollo de cadenas productivas orientados al apoyo de los Comités Sistemas Producto. Como es notable, este indicador atiende a la demanda y para el primer semestre solo se recibieron 11 solicitudes, lo que deriva en una disminución del denominador. Efecto: El efecto inmediato es la disminución en el número de programas de trabajo programados a dictaminar; sin embargo no se consideran más efectos dado que se atiende la demanda de los comités sistema producto. Otros Motivos:</t>
    </r>
  </si>
  <si>
    <r>
      <t xml:space="preserve">A4 - C1.4 Porcentaje de cursos de capacitación impartidos a los pescadores y acuacultores.
</t>
    </r>
    <r>
      <rPr>
        <sz val="10"/>
        <rFont val="Soberana Sans"/>
        <family val="2"/>
      </rPr>
      <t xml:space="preserve"> Causa : La variación en la meta programada fue debido al presupuesto adicional autorizado al subcomponente en el tercer trimestre del ejercicio fiscal. Efecto: Se incrementó el número de talleres de capacitación, logrando una mayor participación de pescadores que recibieron su apoyo al acreditar el curso. Otros Motivos:</t>
    </r>
  </si>
  <si>
    <r>
      <t xml:space="preserve">A3 - C1.3 Porcentaje de cuotas calculadas para la adquisición de diesel marino y gasolina ribereña
</t>
    </r>
    <r>
      <rPr>
        <sz val="10"/>
        <rFont val="Soberana Sans"/>
        <family val="2"/>
      </rPr>
      <t xml:space="preserve"> Causa : No obstante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Efecto: Reducción de unidades económicas pesqueras y acuícolas con apoyo para acceder a una cuota energética a precios competitivos. Otros Motivos:</t>
    </r>
  </si>
  <si>
    <r>
      <t xml:space="preserve">A1 - C1.1 Porcentaje de equipos sustituidos pagados
</t>
    </r>
    <r>
      <rPr>
        <sz val="10"/>
        <rFont val="Soberana Sans"/>
        <family val="2"/>
      </rPr>
      <t>Sin Información,Sin Justificación</t>
    </r>
  </si>
  <si>
    <r>
      <t xml:space="preserve">A2 - C1.1/ C1.2 Porcentaje de instrumentos jurídicos suscritos para la ejecución de obras y estudios y modernización de embarcaciones mayores.
</t>
    </r>
    <r>
      <rPr>
        <sz val="10"/>
        <rFont val="Soberana Sans"/>
        <family val="2"/>
      </rPr>
      <t>Sin Información,Sin Justificación</t>
    </r>
  </si>
  <si>
    <r>
      <t xml:space="preserve">A5-C1.5 Porcentaje de solicitudes dictaminadas para el incentivo de fortalecimiento de capacidades.
</t>
    </r>
    <r>
      <rPr>
        <sz val="10"/>
        <rFont val="Soberana Sans"/>
        <family val="2"/>
      </rPr>
      <t xml:space="preserve"> Causa : Se recibió un menor número de solicitudes en las ventanillas para el Subcomponente de Fortalecimiento de Capacidades, estableciéndose un total de 85 folios. Efecto: No obstante se redujo el número de solicitudes, se cuenta con la demanda suficiente para realizar una adecuada selección en la distribución de apoyos. Otros Motivos:</t>
    </r>
  </si>
  <si>
    <t>S262</t>
  </si>
  <si>
    <t>Programa de Apoyos a la Comercialización</t>
  </si>
  <si>
    <t>F00-Agencia de Servicios a la Comercialización y Desarrollo de Mercados Agropecuarios</t>
  </si>
  <si>
    <t>Contribuir a promover mayor certidumbre en la actividad agroalimentaria mediante mecanismos de administración de riesgos. mediante incentivos a la comercialización, promoción comercial y fomento a las exportaciones de productos agropecuarios y pesqueros.</t>
  </si>
  <si>
    <r>
      <t xml:space="preserve">F.2 Variación del ingreso bruto de los productores agrícolas con incentivos a la Comercialización de cosechas, proveniente de sus actividades económicas.    </t>
    </r>
    <r>
      <rPr>
        <i/>
        <sz val="10"/>
        <color indexed="30"/>
        <rFont val="Soberana Sans"/>
      </rPr>
      <t xml:space="preserve">
</t>
    </r>
  </si>
  <si>
    <t xml:space="preserve">((Ingreso bruto de los productores agrícolas con Incentivos a la Comercialización de cosechas / Ingreso bruto de los productores agrícolas sin apoyos)-1) *100    </t>
  </si>
  <si>
    <r>
      <t xml:space="preserve">F.2.1 Tasa de variación de ventas derivadas de los incentivos a la Promoción Comercial y Fomento a las Exportaciones    </t>
    </r>
    <r>
      <rPr>
        <i/>
        <sz val="10"/>
        <color indexed="30"/>
        <rFont val="Soberana Sans"/>
      </rPr>
      <t xml:space="preserve">
</t>
    </r>
  </si>
  <si>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</si>
  <si>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r>
      <t>Volumen de Producción con Incentivos a la Comercialización de cosechas con respecto al total de la producción elegible.</t>
    </r>
    <r>
      <rPr>
        <i/>
        <sz val="10"/>
        <color indexed="30"/>
        <rFont val="Soberana Sans"/>
      </rPr>
      <t xml:space="preserve">
</t>
    </r>
  </si>
  <si>
    <t xml:space="preserve">(Sumatoria total del volumen de productos elegibles con Incentivos a la Comercialización de cosechas / Total de volumen producido de cultivos elegibles) * 100    </t>
  </si>
  <si>
    <t>producción con cobertura/producción comercializable elegible total  La producción elegible se refiere a los siguientes cultivos: maíz, sorgo, trigo, algodón y soya, sujeta de ser comercializada</t>
  </si>
  <si>
    <t>Productores agropecuarios, acuícolas, pesqueros y agroindustriales mejoran sus condiciones de comercialización en mercados nacionales e internacionales.</t>
  </si>
  <si>
    <r>
      <t xml:space="preserve">Porcentaje de productores agrícolas que mejoran sus condiciones de comercialización con respecto de la población objetivo.     </t>
    </r>
    <r>
      <rPr>
        <i/>
        <sz val="10"/>
        <color indexed="30"/>
        <rFont val="Soberana Sans"/>
      </rPr>
      <t xml:space="preserve">
</t>
    </r>
  </si>
  <si>
    <t xml:space="preserve">(Productores agrícolas que mejoran sus condiciones de comercialización por el Componente Incentivos a la Comercialización / Población Objetivo del Componente Incentivos a la Comercialización)*100          </t>
  </si>
  <si>
    <r>
      <t>Porcentaje de beneficiarios que logran diversificar mercados</t>
    </r>
    <r>
      <rPr>
        <i/>
        <sz val="10"/>
        <color indexed="30"/>
        <rFont val="Soberana Sans"/>
      </rPr>
      <t xml:space="preserve">
</t>
    </r>
  </si>
  <si>
    <t xml:space="preserve">(Número de beneficiarios encuestados que reportan diversificación o ingreso a nuevos mercados en la Evaluación de participación anual / Número total de beneficiarios encuestados con la Evaluación de participación anual)*100    </t>
  </si>
  <si>
    <t>A Incentivos a la Comercialización, entregados a los productores y/o compradores de productos agropecuarios.</t>
  </si>
  <si>
    <r>
      <t>C.1.2 Porcentaje del volumen de productos elegibles con apoyos para administración de riesgos de precios incorporadas a la Agricultura por Contrato con respecto al total producido.</t>
    </r>
    <r>
      <rPr>
        <i/>
        <sz val="10"/>
        <color indexed="30"/>
        <rFont val="Soberana Sans"/>
      </rPr>
      <t xml:space="preserve">
</t>
    </r>
  </si>
  <si>
    <t>(Sumatoria del volumen de productos elegibles con incentivos para administración de riesgos de precios incorporadas a la Agricultura por Contrato / Total de volumen producido de productos elegibles maíz, sorgo, soya y trigo))*100</t>
  </si>
  <si>
    <r>
      <t xml:space="preserve">C.1.3 Porcentaje del volumen de productos elegibles con incentivos complementarios al ingreso objetivo    </t>
    </r>
    <r>
      <rPr>
        <i/>
        <sz val="10"/>
        <color indexed="30"/>
        <rFont val="Soberana Sans"/>
      </rPr>
      <t xml:space="preserve">
</t>
    </r>
  </si>
  <si>
    <t xml:space="preserve">(Sumatoria del volumen de productos elegibles con incentivos complementarios al ingreso objetivo / Total de volumen con incentivos para administración de riesgos de precios)*100.    </t>
  </si>
  <si>
    <r>
      <t xml:space="preserve">C.1.4 Porcentaje del volumen de productos elegibles con incentivos emergentes a la comercialización (por ciclo agrícola y producto) con respecto al total producido.   </t>
    </r>
    <r>
      <rPr>
        <i/>
        <sz val="10"/>
        <color indexed="30"/>
        <rFont val="Soberana Sans"/>
      </rPr>
      <t xml:space="preserve">
</t>
    </r>
  </si>
  <si>
    <t>(Sumatoria del volumen de productos elegibles con incentivos emergentes a la comercialización por ciclo agrícola y producto/ Total de volumen producido de productos elegibles por ciclo agrícola y producto) * 100</t>
  </si>
  <si>
    <r>
      <t>C.1.1 Porcentaje del volumen de productos elegibles (algodón y café) con apoyos para administración de riesgos de precios no incorporadas a la Agricultura por Contrato con respecto al total producido.</t>
    </r>
    <r>
      <rPr>
        <i/>
        <sz val="10"/>
        <color indexed="30"/>
        <rFont val="Soberana Sans"/>
      </rPr>
      <t xml:space="preserve">
</t>
    </r>
  </si>
  <si>
    <t>(Sumatoria del volumen de productos elegibles (algodón y café) con incentivos para administración de riesgos de precios no incorporadas a la  Agricultura por Contrato/ Sumatoria de volúmenes producidos de algodón y café por ciclo agrícola )*100</t>
  </si>
  <si>
    <r>
      <t xml:space="preserve"> C.1.5 Porcentaje de capacidad instalada mejorada mediante proyectos de infraestructura comercial con respecto a la Capacidad instalada.</t>
    </r>
    <r>
      <rPr>
        <i/>
        <sz val="10"/>
        <color indexed="30"/>
        <rFont val="Soberana Sans"/>
      </rPr>
      <t xml:space="preserve">
</t>
    </r>
  </si>
  <si>
    <t>(Capacidad instalada mejorada mediante proyectos de infraestructura comercial / Total de capacidad instalada de acuerdo a la línea base en las zonas prioritarias) * 100</t>
  </si>
  <si>
    <t>B Incentivos otorgados a productores del sector agroalimentario y pesquero para proyectos de promoción comercial; eventos y misiones comerciales, desarrollo de capacidades y vinculaciones de comercio directo</t>
  </si>
  <si>
    <r>
      <t xml:space="preserve">C.2.1.1 Porcentaje de productores que logran la certificación o recertificación de calidad, sanidad o inocuidad    </t>
    </r>
    <r>
      <rPr>
        <i/>
        <sz val="10"/>
        <color indexed="30"/>
        <rFont val="Soberana Sans"/>
      </rPr>
      <t xml:space="preserve">
</t>
    </r>
  </si>
  <si>
    <t xml:space="preserve">(Número de productores que logran la certificación o recertificación /Número total de productores que inciaron el proceso para la certificación o recertificación) * 100    </t>
  </si>
  <si>
    <r>
      <t xml:space="preserve">C.2.2.1 Porcentaje de los beneficiarios que logran enlaces comerciales     </t>
    </r>
    <r>
      <rPr>
        <i/>
        <sz val="10"/>
        <color indexed="30"/>
        <rFont val="Soberana Sans"/>
      </rPr>
      <t xml:space="preserve">
</t>
    </r>
  </si>
  <si>
    <t xml:space="preserve">(Número total de beneficiarios que reportan enlaces comerciales / Número total de beneficiarios participantes en Eventos Comerciales Nacionales e Internacionales) * 100    </t>
  </si>
  <si>
    <t>A 1 A.1.4 Dictaminación favorable efectuada a las solicitudes para acceder a los incentivos a la Comercialización.</t>
  </si>
  <si>
    <r>
      <t>A.1.4 Porcentaje de solicitudes dictaminadas para acceder a los incentivos a la comercialización</t>
    </r>
    <r>
      <rPr>
        <i/>
        <sz val="10"/>
        <color indexed="30"/>
        <rFont val="Soberana Sans"/>
      </rPr>
      <t xml:space="preserve">
</t>
    </r>
  </si>
  <si>
    <t xml:space="preserve">(Número total de solicitudes dictaminadas/ Número total de solicitudes recibidas)*100.     </t>
  </si>
  <si>
    <t>A 2 A.1.5 Registro de beneficiarios que recibieron el pago de Incentivos a la Comercialización en el plazo establecido en la normatividad.</t>
  </si>
  <si>
    <r>
      <t xml:space="preserve">A.1.5 Porcentaje de beneficiarios que recibieron el pago en el plazo establecido en la normatividad con respecto al total de productores que solicitaron el incentivo.      </t>
    </r>
    <r>
      <rPr>
        <i/>
        <sz val="10"/>
        <color indexed="30"/>
        <rFont val="Soberana Sans"/>
      </rPr>
      <t xml:space="preserve">
</t>
    </r>
  </si>
  <si>
    <t xml:space="preserve">(Numero de beneficiarios con el pago recibido en el plazo establecido en la normatividad  / Numero total de solicitantes) * 100 </t>
  </si>
  <si>
    <t>A 3 A.1.1 Registro del volumen de productos agropecuarios en Agricultura por Contrato</t>
  </si>
  <si>
    <r>
      <t>A.1.1 Porcentaje del volumen registrado en el esquema de agricultura por contrato con respecto al total producido.</t>
    </r>
    <r>
      <rPr>
        <i/>
        <sz val="10"/>
        <color indexed="30"/>
        <rFont val="Soberana Sans"/>
      </rPr>
      <t xml:space="preserve">
</t>
    </r>
  </si>
  <si>
    <t>(Sumatoria del volumen de productos elegibles registrado en agricultura por contrato / Total de volumen producido de productos elegibles)*100.</t>
  </si>
  <si>
    <t>A 4 A.1.3 Dictaminación favorable efectuada a las solicitudes recibidas para el acceso a los incentivos para la administración de riesgos de precios no incorporadas a la Agricultura por Contrato</t>
  </si>
  <si>
    <r>
      <t>A.1.3 Porcentaje de las solicitudes dictaminadas favorablemente para acceder a los incentivos para administración de riesgos de precios no incorporadas a la Agrocultura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</si>
  <si>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no incorporadas a la Agricultura por Contrato / Número total de solicitudes sin agricultura por contrato recibidas)*100</t>
  </si>
  <si>
    <t>A 5 A.1.2 Dictaminación favorable efectuada a las solicitudes recibidas para el acceso a los incentivos para la administración de riesgos de precios incorporadas a la Agricultura por Contrato</t>
  </si>
  <si>
    <r>
      <t xml:space="preserve">A.1.2 Porcentaje de las solicitudes dictaminadas favorablemente para acceder a los apoyos para administración de riesgos de precios incorporadas a la Agricultura por Contrato con respecto al total de solicitudes recibidas.    </t>
    </r>
    <r>
      <rPr>
        <i/>
        <sz val="10"/>
        <color indexed="30"/>
        <rFont val="Soberana Sans"/>
      </rPr>
      <t xml:space="preserve">
</t>
    </r>
  </si>
  <si>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</si>
  <si>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B 6 A.2.1.1 Evaluación de proyectos</t>
  </si>
  <si>
    <r>
      <t>A.2.1.1 Porcentaje de proyectos apoyados</t>
    </r>
    <r>
      <rPr>
        <i/>
        <sz val="10"/>
        <color indexed="30"/>
        <rFont val="Soberana Sans"/>
      </rPr>
      <t xml:space="preserve">
</t>
    </r>
  </si>
  <si>
    <t>(Número de proyectos apoyados / Número total de proyectos ingresados) * 100</t>
  </si>
  <si>
    <t>B 7 A.2.2.1 Medir el porcentaje de las empresas participantes del sector agroalimentario y pesquero que logran establecer enlaces comerciales en Eventos Comerciales Nacionales e Internacionales.</t>
  </si>
  <si>
    <r>
      <t xml:space="preserve">A.2.2.1 Porcentaje de solicitudes apoyadas en eventos comerciales nacionales e internacionales  </t>
    </r>
    <r>
      <rPr>
        <i/>
        <sz val="10"/>
        <color indexed="30"/>
        <rFont val="Soberana Sans"/>
      </rPr>
      <t xml:space="preserve">
</t>
    </r>
  </si>
  <si>
    <t xml:space="preserve">(Número de solicitudes apoyadas en eventos comerciales / Número total de solicitudes recibidas) * 100    </t>
  </si>
  <si>
    <t>B 8 A.2.1.2 Ingreso de solicitudes por parte de los productores que recibieron asesoría</t>
  </si>
  <si>
    <r>
      <t xml:space="preserve">A.2.1.2 Porcentaje de productores que ingresan solicitud derivado de la asesoría     </t>
    </r>
    <r>
      <rPr>
        <i/>
        <sz val="10"/>
        <color indexed="30"/>
        <rFont val="Soberana Sans"/>
      </rPr>
      <t xml:space="preserve">
</t>
    </r>
  </si>
  <si>
    <t xml:space="preserve">(Número de productores que ingresan solicitud derivado de la asesoría  / Número de productores asesorados) * 100    </t>
  </si>
  <si>
    <t>B 9 A.2.2.2 Dictaminación de solicitudes</t>
  </si>
  <si>
    <r>
      <t xml:space="preserve">A.2.2.2 Porcentaje de beneficiarios satisfechos con el servicio proporcionado   </t>
    </r>
    <r>
      <rPr>
        <i/>
        <sz val="10"/>
        <color indexed="30"/>
        <rFont val="Soberana Sans"/>
      </rPr>
      <t xml:space="preserve">
</t>
    </r>
  </si>
  <si>
    <t>(Número de beneficiarios satisfechos / Número total de beneficiarios)*100</t>
  </si>
  <si>
    <r>
      <t xml:space="preserve">F.2 Variación del ingreso bruto de los productores agrícolas con incentivos a la Comercialización de cosechas, proveniente de sus actividades económicas.    
</t>
    </r>
    <r>
      <rPr>
        <sz val="10"/>
        <rFont val="Soberana Sans"/>
        <family val="2"/>
      </rPr>
      <t>Sin Información,Sin Justificación</t>
    </r>
  </si>
  <si>
    <r>
      <t xml:space="preserve">F.2.1 Tasa de variación de ventas derivadas de los incentivos a la Promoción Comercial y Fomento a las Exportaciones    
</t>
    </r>
    <r>
      <rPr>
        <sz val="10"/>
        <rFont val="Soberana Sans"/>
        <family val="2"/>
      </rPr>
      <t>Sin Información,Sin Justificación</t>
    </r>
  </si>
  <si>
    <r>
      <t xml:space="preserve">Volumen de Producción con Incentivos a la Comercialización de cosechas con respecto al total de la producción elegible.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</si>
  <si>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</si>
  <si>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Porcentaje de productores agrícolas que mejoran sus condiciones de comercialización con respecto de la población objetivo.     
</t>
    </r>
    <r>
      <rPr>
        <sz val="10"/>
        <rFont val="Soberana Sans"/>
        <family val="2"/>
      </rPr>
      <t>Sin Información,Sin Justificación</t>
    </r>
  </si>
  <si>
    <r>
      <t xml:space="preserve">Porcentaje de beneficiarios que logran diversificar mercados
</t>
    </r>
    <r>
      <rPr>
        <sz val="10"/>
        <rFont val="Soberana Sans"/>
        <family val="2"/>
      </rPr>
      <t>Sin Información,Sin Justificación</t>
    </r>
  </si>
  <si>
    <r>
      <t xml:space="preserve">C.1.2 Porcentaje del volumen de productos elegibles con apoyos para administración de riesgos de precios incorporadas a la Agricultura por Contrato con respecto al total producido.
</t>
    </r>
    <r>
      <rPr>
        <sz val="10"/>
        <rFont val="Soberana Sans"/>
        <family val="2"/>
      </rPr>
      <t xml:space="preserve"> Causa : La meta quedó por debajo de lo planeado debido a que el aviso de apertura de ventanilla  del ciclo OI 2017-2018, se publicó en el mes de marzo y no en febrero conforme a lo programado y ampliándose 10 días más; sin embargo, no fueron atractivos para los participantes los precios en el mercado.  Efecto: El efecto fue un menor volumen comercializado,  sin embargo, se lograron apoyar a 61,869 participantes y con ello proteger el ingreso de los productores. Otros Motivos:</t>
    </r>
  </si>
  <si>
    <r>
      <t xml:space="preserve">C.1.3 Porcentaje del volumen de productos elegibles con incentivos complementarios al ingreso objetivo    
</t>
    </r>
    <r>
      <rPr>
        <sz val="10"/>
        <rFont val="Soberana Sans"/>
        <family val="2"/>
      </rPr>
      <t xml:space="preserve"> Causa : El avance reportado del 16.1% respecto a la meta planeada, corresponde a que sólo en algunos casos existió la necesidad de activar el Incentivo Complementario al Ingreso Objetivo, derivado de que el importe del Ingreso Integrado fue inferior al ingreso objetivo establecido para los productos elegibles. Efecto: Con la instrumentación del Incentivo Complementario al Ingreso Objetivo, se garantizó a los productores un ingreso mínimo por tonelada producida y comercializada, proporcionando certidumbre en los procesos de comercialización. Otros Motivos:</t>
    </r>
  </si>
  <si>
    <r>
      <t xml:space="preserve">C.1.4 Porcentaje del volumen de productos elegibles con incentivos emergentes a la comercialización (por ciclo agrícola y producto) con respecto al total producido.   
</t>
    </r>
    <r>
      <rPr>
        <sz val="10"/>
        <rFont val="Soberana Sans"/>
        <family val="2"/>
      </rPr>
      <t xml:space="preserve"> Causa : Se rebasó la meta en un 85.2%, como resultado de contingencias o problemáticas que afectaron la comercialización de los productos elegibles. Efecto: Se logró apoyar a 17,220 productores y/o compradores que enfrentan situaciones coyunturales, contingencias o problemáticas recurrentes que afectan la comercialización de los productos elegibles, como resultado del comportamiento desfavorable de variables económicas y de mercado.    Otros Motivos:</t>
    </r>
  </si>
  <si>
    <r>
      <t xml:space="preserve">C.1.1 Porcentaje del volumen de productos elegibles (algodón y café) con apoyos para administración de riesgos de precios no incorporadas a la Agricultura por Contrato con respecto al total producido.
</t>
    </r>
    <r>
      <rPr>
        <sz val="10"/>
        <rFont val="Soberana Sans"/>
        <family val="2"/>
      </rPr>
      <t>Sin Información,Sin Justificación</t>
    </r>
  </si>
  <si>
    <r>
      <t xml:space="preserve"> C.1.5 Porcentaje de capacidad instalada mejorada mediante proyectos de infraestructura comercial con respecto a la Capacidad instalada.
</t>
    </r>
    <r>
      <rPr>
        <sz val="10"/>
        <rFont val="Soberana Sans"/>
        <family val="2"/>
      </rPr>
      <t xml:space="preserve"> Causa : No se cumple con la meta planeada dado que a la fecha aún se encuentra en proceso de diseño el Incentivo a la Infraestructura de Almacenamiento de Granos y Servicios de Información para la Competitividad Agrícola, con la participación del Banco Mundial. Efecto: Con la instrumentación del Incentivo a la Infraestructura de Almacenamiento de Granos y Servicios de Información para la Competitividad Agrícola, se fortalecerá la capacidad comercial y competitiva de las organizaciones de productores de maíz y se impulsará el desarrollo comercial regional, con el propósito de contribuir al ordenamiento, promoción y desarrollo de mercados del maíz. Asimismo, es menester señalar que de no llegarse a instrumentar el presente apoyo por causas internas y/o externas, lo cual no tendría repercusiones negativas, toda vez que se dará seguimiento a las solicitudes recibidas, a efecto de brindar la asesoría en el trámite correspondiente y facilitar su participación en el siguiente ejercicio fiscal. Otros Motivos:</t>
    </r>
  </si>
  <si>
    <r>
      <t xml:space="preserve">C.2.1.1 Porcentaje de productores que logran la certificación o recertificación de calidad, sanidad o inocuidad    
</t>
    </r>
    <r>
      <rPr>
        <sz val="10"/>
        <rFont val="Soberana Sans"/>
        <family val="2"/>
      </rPr>
      <t>Sin Información,Sin Justificación</t>
    </r>
  </si>
  <si>
    <r>
      <t xml:space="preserve">C.2.2.1 Porcentaje de los beneficiarios que logran enlaces comerciales     
</t>
    </r>
    <r>
      <rPr>
        <sz val="10"/>
        <rFont val="Soberana Sans"/>
        <family val="2"/>
      </rPr>
      <t xml:space="preserve"> Causa : El porcentaje de cumplimiento de la meta es del 110.8% derivado de la incorporación del evento México Alimentaria 218 Food Show en el programa en la Atenta Nota No. DJ/037/2018 y a que el número de participantes fue mayor al proyectado en el evento de la Misión Comercial en el marco de la México Alimentaria Food Show Efecto: El efecto es positivo porque se logró apoyar a más productores en los eventos de este trimestre en el mercado nacional e internacional. Otros Motivos:</t>
    </r>
  </si>
  <si>
    <r>
      <t xml:space="preserve">A.1.4 Porcentaje de solicitudes dictaminadas para acceder a los incentivos a la comercialización
</t>
    </r>
    <r>
      <rPr>
        <sz val="10"/>
        <rFont val="Soberana Sans"/>
        <family val="2"/>
      </rPr>
      <t xml:space="preserve"> Causa : Se rebasó la meta en un 42.8% con respecto a lo planeado, debido que en el presente trimestre, se publicaron diversos, dirigidos a instrumentar el Incentivos Complementario al Ingreso Objetivo en el esquema de Agricultura por Contrato y el Incentivo para Atender Problemas Específicos de Comercialización para los ciclos agrícolas otoño-invierno 2017/2018 y primavera-verano 2017 y 2018, con los cuales se recibieron prácticamente la totalidad de las solicitudes que se estiman recibir en el presente ejercicio fiscal Efecto: Debido al  alto dinamismo de participación por parte de los solicitantes, se logró apoyar a 218,888 productores de granos y oleaginosas, quedando pendiente para el siguiente trimestre menos del 2% de la total proyectado. Otros Motivos:</t>
    </r>
  </si>
  <si>
    <r>
      <t xml:space="preserve">A.1.5 Porcentaje de beneficiarios que recibieron el pago en el plazo establecido en la normatividad con respecto al total de productores que solicitaron el incentivo.      
</t>
    </r>
    <r>
      <rPr>
        <sz val="10"/>
        <rFont val="Soberana Sans"/>
        <family val="2"/>
      </rPr>
      <t xml:space="preserve"> Causa : Se rebasó la meta en un 5.7% con respecto a lo planeado, debido que en el presente trimestre, se publicaron diversos, dirigidos a instrumentar el Incentivos Complementario al Ingreso Objetivo en el esquema de Agricultura por Contrato y el Incentivo para Atender Problemas Específicos de Comercialización para los ciclos agrícolas otoño-invierno 2017/2018 y primavera-verano 2017 y 2018. Efecto: Debido al  alto dinamismo de participación por parte de los solicitantes, se logró apoyar prácticamente la totalidad de productores que se  estiman en el presente ejercicio fiscal, queda pendiente para el siguiente trimestre menos del 2% de la total proyectado. Otros Motivos:</t>
    </r>
  </si>
  <si>
    <r>
      <t xml:space="preserve">A.1.1 Porcentaje del volumen registrado en el esquema de agricultura por contrato con respecto al total producido.
</t>
    </r>
    <r>
      <rPr>
        <sz val="10"/>
        <rFont val="Soberana Sans"/>
        <family val="2"/>
      </rPr>
      <t xml:space="preserve"> Causa : Se superó la meta en un 22%, con respecto a lo planeado debido a que de conformidad con el Aviso para la apertura de ventanillas del ciclo agrícola primavera-verano 2018, se registró prácticamente la totalidad del volumen en Agricultura por Contrato. Efecto: Existió un alto dinamismo de participación por parte de los solicitantes para el  ciclo agrícola primavera-verano 2018, logrando registrar 5,445,500.52 toneladas al cierre del 30 de septiembre de 2018. Otros Motivos:</t>
    </r>
  </si>
  <si>
    <r>
      <t xml:space="preserve">A.1.3 Porcentaje de las solicitudes dictaminadas favorablemente para acceder a los incentivos para administración de riesgos de precios no incorporadas a la Agrocultura por Contrato con respecto al total de solicitudes recibidas.
</t>
    </r>
    <r>
      <rPr>
        <sz val="10"/>
        <rFont val="Soberana Sans"/>
        <family val="2"/>
      </rPr>
      <t xml:space="preserve"> Causa : La meta quedó por debajo de lo planeado, debido a que las ventanillas de PV18, algodón y café cerraron antes de lo programado, a causa del cierre anticipado del ejercicio 2018, de conformidad con lo establecido por las disposiciones emitidas por la Secretaría de Hacienda y Crédito Público. por lo que el denominador refleja la cifra final de solicitudes recibidas. Efecto: El efecto fue que se recibieron las solicitudes totales (operadas/no operadas), logrando dictaminar favorablemente 10,249 solicitudes, logrando con ello proteger el ingreso esperado de los productores. Otros Motivos:</t>
    </r>
  </si>
  <si>
    <r>
      <t xml:space="preserve">A.1.2 Porcentaje de las solicitudes dictaminadas favorablemente para acceder a los apoyos para administración de riesgos de precios incorporadas a la Agricultura por Contrato con respecto al total de solicitudes recibidas.    
</t>
    </r>
    <r>
      <rPr>
        <sz val="10"/>
        <rFont val="Soberana Sans"/>
        <family val="2"/>
      </rPr>
      <t xml:space="preserve"> Causa : La meta quedó por arriba de lo planeado, debido a que al cerrar antes de lo programado la ventanilla del PV18, a causa del cierre anticipado del ejercicio 2018, de conformidad con lo establecido por las disposiciones emitidas por la Secretaría de Hacienda y Crédito Público, el denominador cambia ya que está reportando las cifra final de solicitudes recibidas. Efecto: El efecto fue que se recibieron las solicitudes totales (tanto operadas como no operadas) y  se lograron dictaminar favorablemente 110,938 solicitudes y con ello proteger el ingreso de productores, fomentando una cultura de administración de riesgos de precios.  Otros Motivos:</t>
    </r>
  </si>
  <si>
    <r>
      <t xml:space="preserve">A.2.1.1 Porcentaje de proyectos apoyados
</t>
    </r>
    <r>
      <rPr>
        <sz val="10"/>
        <rFont val="Soberana Sans"/>
        <family val="2"/>
      </rPr>
      <t xml:space="preserve"> Causa : La meta se superó por un 40 % derivado a que hubo alta demanda de los incentivos de Promoción Comercial por parte de las organizaciones y se lograron ver beneficiados como conscuencia del incremento presupuestal, en un 47.50% con respecto al trimestre anterior, para los incentivos de Promoción Comercial. Efecto: El efecto es positivo ya que se logró impulsar la promoción de más productos a nivel nacional e internacional de las organizaciones a las que se dictaminó favorable su proyecto. Otros Motivos:</t>
    </r>
  </si>
  <si>
    <r>
      <t xml:space="preserve">A.2.2.1 Porcentaje de solicitudes apoyadas en eventos comerciales nacionales e internacionales  
</t>
    </r>
    <r>
      <rPr>
        <sz val="10"/>
        <rFont val="Soberana Sans"/>
        <family val="2"/>
      </rPr>
      <t xml:space="preserve"> Causa : El porcentaje de cumplimiento de la meta es del 108% derivado de la incorporación del evento México Alimentaria 218 Food Show en el programa en la Atenta Nota No. DJ/037/2018 y a que el número de participantes fue mayor al proyectado en el evento de la Misión Comercial en el marco de la México Alimentaria Food Show Efecto: El efecto es positivo porque se logró apoyar a más productores en los eventos de este trimestre en el mercado nacional e internacional. Otros Motivos:</t>
    </r>
  </si>
  <si>
    <r>
      <t xml:space="preserve">A.2.1.2 Porcentaje de productores que ingresan solicitud derivado de la asesoría     
</t>
    </r>
    <r>
      <rPr>
        <sz val="10"/>
        <rFont val="Soberana Sans"/>
        <family val="2"/>
      </rPr>
      <t xml:space="preserve"> Causa : La meta fue superada en un 17.14%, debido a que un gran porcentaje de organizaciones que solicitaron asesoría, ingresaron sus solicitudes durante el tercer trimestre. Efecto: El efecto es positivo ya que se puede apoyar a más organizaciones al conocer el proceso y los incentivos de manera clara que ofrece la Instancia Ejecutora. Otros Motivos:</t>
    </r>
  </si>
  <si>
    <r>
      <t xml:space="preserve">A.2.2.2 Porcentaje de beneficiarios satisfechos con el servicio proporcionado   
</t>
    </r>
    <r>
      <rPr>
        <sz val="10"/>
        <rFont val="Soberana Sans"/>
        <family val="2"/>
      </rPr>
      <t xml:space="preserve"> Causa : Se supero la meta en 9.34%  derivado de la incorporación de un evento en el programa y a que el número de participantes se incremento en el evento de la Misión Comercial en el marco de la México Alimentaria Food Show, lo que incrementó el porcentaje de beneficiarios satisfechos. Efecto: El efecto es positivo porque se logró apoyar a más productores en los eventos de este trimestre en el mercado nacional e internacional, los cuales quedaron satisfechos por lograr diversificar sus productos al mismo tiempo que incrementaron sus enlaces comerciales.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</si>
  <si>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</si>
  <si>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</si>
  <si>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</si>
  <si>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</si>
  <si>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r>
      <t>F3.- Índice de estatus fitozoosanitario que se mejoran</t>
    </r>
    <r>
      <rPr>
        <i/>
        <sz val="10"/>
        <color indexed="30"/>
        <rFont val="Soberana Sans"/>
      </rPr>
      <t xml:space="preserve">
</t>
    </r>
  </si>
  <si>
    <t>((0.57)*(Número de estatus fitosanitario que se mejoran/Número de estatus fitosanitario actual))+((0.43)*((Número de estatus zoosanitario que se mejoran/Número de estatus zoosanitario actual))</t>
  </si>
  <si>
    <t>Índice</t>
  </si>
  <si>
    <r>
      <t>F2.- Índice de estatus fitozoosanitario que se mantienen</t>
    </r>
    <r>
      <rPr>
        <i/>
        <sz val="10"/>
        <color indexed="30"/>
        <rFont val="Soberana Sans"/>
      </rPr>
      <t xml:space="preserve">
</t>
    </r>
  </si>
  <si>
    <t>((0.57)*(Número de estatus fitosanitario que se mantienen/Número de estatus fitosanitario actual))+((0.43)*((Número de estatus zoosanitario que se mantienen/Número de estatus zoosanitario actual))</t>
  </si>
  <si>
    <t>Superficie conservada libre de la mosca de la fruta/territorio nacional</t>
  </si>
  <si>
    <r>
      <t>F4.-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</si>
  <si>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</si>
  <si>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El patrimonio fito-zoosanitario y de inocuidad agroalimentaria, acuícola y pesquera en los Estados del país se mantiene o mejora.</t>
  </si>
  <si>
    <r>
      <t>P1.- Porcentaje de estatus fitosanitarios que se mantienen</t>
    </r>
    <r>
      <rPr>
        <i/>
        <sz val="10"/>
        <color indexed="30"/>
        <rFont val="Soberana Sans"/>
      </rPr>
      <t xml:space="preserve">
</t>
    </r>
  </si>
  <si>
    <t>(Número de estatus fitosanitarios que se mantienen/Número de estatus fitosanitario actual)*100</t>
  </si>
  <si>
    <r>
      <t>P2.- Porcentaje de estatus fitosanitarios que se mejoran</t>
    </r>
    <r>
      <rPr>
        <i/>
        <sz val="10"/>
        <color indexed="30"/>
        <rFont val="Soberana Sans"/>
      </rPr>
      <t xml:space="preserve">
</t>
    </r>
  </si>
  <si>
    <t>(Número de estatus fitosanitarios que se mejoran/Número de estatus fitosanitario actual)*100</t>
  </si>
  <si>
    <r>
      <t>P3.- Porcentaje de estatus zoosanitarios que se mantienen.</t>
    </r>
    <r>
      <rPr>
        <i/>
        <sz val="10"/>
        <color indexed="30"/>
        <rFont val="Soberana Sans"/>
      </rPr>
      <t xml:space="preserve">
</t>
    </r>
  </si>
  <si>
    <t>(Número de estatus zoosanitario que se mantienen/Número de estatus zoosanitario actual)*100</t>
  </si>
  <si>
    <r>
      <t>P4.- Porcentaje de estatus zoosanitarios que se mejoran</t>
    </r>
    <r>
      <rPr>
        <i/>
        <sz val="10"/>
        <color indexed="30"/>
        <rFont val="Soberana Sans"/>
      </rPr>
      <t xml:space="preserve">
</t>
    </r>
  </si>
  <si>
    <t>(Número de estatus zoosanitario que se mejoran/Número de estatus zoosanitario actual)*100</t>
  </si>
  <si>
    <r>
      <t xml:space="preserve">P5.-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</si>
  <si>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</si>
  <si>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t>A C.4. Sistema de inocuidad agroalimentaria, acuícola y pesquera mejorado.</t>
  </si>
  <si>
    <r>
      <t>C4.1.-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</si>
  <si>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</si>
  <si>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r>
      <t>C4.2.- Porcentaje de cabezas de ganado sacrificada en establecimientos dedicados al sacrifico TIF</t>
    </r>
    <r>
      <rPr>
        <i/>
        <sz val="10"/>
        <color indexed="30"/>
        <rFont val="Soberana Sans"/>
      </rPr>
      <t xml:space="preserve">
</t>
    </r>
  </si>
  <si>
    <t xml:space="preserve">(Número de cabezas de ganado bovino y porcino sacrificado con buenas prácticas en establecimientos dedicados al sacrificio TIF/Número de cabezas de ganado bovino y porcino movilizadas a sacrificio)*100 </t>
  </si>
  <si>
    <t>B C.2. Sistema de vigilancia epidemiológica de plagas y enfermedades no cuarentenarias reglamentadas mejorado.</t>
  </si>
  <si>
    <r>
      <t>C2.- Índice de estrategias de vigilancia para la detección de plagas y enfermedades no cuarentenarias reglamentadas</t>
    </r>
    <r>
      <rPr>
        <i/>
        <sz val="10"/>
        <color indexed="30"/>
        <rFont val="Soberana Sans"/>
      </rPr>
      <t xml:space="preserve">
</t>
    </r>
  </si>
  <si>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</si>
  <si>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 C.3. Campañas fitozoosanitarias mejoradas.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</si>
  <si>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</si>
  <si>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</si>
  <si>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D C.1. Sistema de vigilancia epidemiológica, de plagas y enfermedades cuarentenarias mejorado.</t>
  </si>
  <si>
    <r>
      <t xml:space="preserve">C1.- Índice de estrategias de vigilancia para la detección de plagas y enfermedades exóticas o cuarentenarias </t>
    </r>
    <r>
      <rPr>
        <i/>
        <sz val="10"/>
        <color indexed="30"/>
        <rFont val="Soberana Sans"/>
      </rPr>
      <t xml:space="preserve">
</t>
    </r>
  </si>
  <si>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</si>
  <si>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 1 A4.2. Implementación de sistemas de reducción de riesgos de contaminación en la producción y procesamiento primario en productos agrícolas, pecuarios, acuícolas y pesqueros.</t>
  </si>
  <si>
    <r>
      <t>A4.2.1.- Porcentaje de Unidades de Producción del sector agroalimentario, acuícola y pesquero que implementan sistemas de reducción de riesgos hasta el 50%.</t>
    </r>
    <r>
      <rPr>
        <i/>
        <sz val="10"/>
        <color indexed="30"/>
        <rFont val="Soberana Sans"/>
      </rPr>
      <t xml:space="preserve">
</t>
    </r>
  </si>
  <si>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</si>
  <si>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r>
      <t>A4.2.2.- Porcentaje de unidades de producción del sector agroalimentario, acuícola y pesquero que implementan sistemas de reducción de riesgos entre el 51 y 75%.</t>
    </r>
    <r>
      <rPr>
        <i/>
        <sz val="10"/>
        <color indexed="30"/>
        <rFont val="Soberana Sans"/>
      </rPr>
      <t xml:space="preserve">
</t>
    </r>
  </si>
  <si>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</si>
  <si>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r>
      <t>A4.2.3.-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</si>
  <si>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</si>
  <si>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 2 A4.1. Aplicación de incentivos para el sacrificio de ganado en rastros TIF.</t>
  </si>
  <si>
    <r>
      <t>A4.1.- Porcentaje de cabezas de ganado sacrificado con buenas prácticas con aplicación de incentivos del Programa.</t>
    </r>
    <r>
      <rPr>
        <i/>
        <sz val="10"/>
        <color indexed="30"/>
        <rFont val="Soberana Sans"/>
      </rPr>
      <t xml:space="preserve">
</t>
    </r>
  </si>
  <si>
    <t>(Número de cabezas de ganado sacrificados con buenas prácticas con aplicación de incentivos del Programa / Número total de cabezas de ganado sacrificados en rastros TIF )*100</t>
  </si>
  <si>
    <t>B 3 A2.3. Aplicación de acciones para la vigilancia epidemiológica de plagas y enfermedades zoosanitarias reglamentadas.</t>
  </si>
  <si>
    <r>
      <t>A2.3.- Porcentaje  de cobertura de sitios de riesgo con acciones de vigilancia epidemiológica zoosanitaria activa de plagas y enfermedades endémicas reglamentadas.</t>
    </r>
    <r>
      <rPr>
        <i/>
        <sz val="10"/>
        <color indexed="30"/>
        <rFont val="Soberana Sans"/>
      </rPr>
      <t xml:space="preserve">
</t>
    </r>
  </si>
  <si>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</si>
  <si>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B 4 A2.2. Aplicación de acciones para la vigilancia epidemiológica de plagas fitosanitarias no cuarentenarias.</t>
  </si>
  <si>
    <r>
      <t>A2.2.- Porcentaje de cobertura de sitios de riesgo con acciones de vigilancia epidemiológica fitosanitaria de plagas no cuarentenarias.</t>
    </r>
    <r>
      <rPr>
        <i/>
        <sz val="10"/>
        <color indexed="30"/>
        <rFont val="Soberana Sans"/>
      </rPr>
      <t xml:space="preserve">
</t>
    </r>
  </si>
  <si>
    <t>(Número de sitios de riesgo con acciones de vigilancia epidemiológica fitosanitaria de plagas no cuarentenarias / Número de sitios de riesgo que requieren acciones de vigilancia epidemiológica fitosanitaria de plagas no cuarentenarias)  *100</t>
  </si>
  <si>
    <t>B 5 A2.1. Dotación de infraestructura y equipo en sitios de inspección para la movilización nacional de mercancías reguladas.</t>
  </si>
  <si>
    <r>
      <t>A2.1.- Porcentaje de sitios de inspección con infraestructura y equipo mejorados.</t>
    </r>
    <r>
      <rPr>
        <i/>
        <sz val="10"/>
        <color indexed="30"/>
        <rFont val="Soberana Sans"/>
      </rPr>
      <t xml:space="preserve">
</t>
    </r>
  </si>
  <si>
    <t>(Número de sitios de inspección con infraestructura y equipo mejorados / Número de sitios prioritarios de inspección )*100</t>
  </si>
  <si>
    <t>C 6 A3.3. Implementación de acciones para el control o erradicación de plagas y enfermedades zoosanitarias reglamentadas.</t>
  </si>
  <si>
    <r>
      <t>A3.3.-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</si>
  <si>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</si>
  <si>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C 7 A3.2 Implementación de acciones para la prevención, control o erradicación de plagas fitosanitarias reglamentadas.</t>
  </si>
  <si>
    <r>
      <t>A3.2.-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</si>
  <si>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</si>
  <si>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C 8 A3.1. Otorgamiento de asistencia técnica para la prevención o control de enfermedades acuícolas.</t>
  </si>
  <si>
    <r>
      <t>A3.1.- Porcentaje de Unidades de Producción Acuícola con asistencia técnica para la prevención  o control de enfermedades acuícolas</t>
    </r>
    <r>
      <rPr>
        <i/>
        <sz val="10"/>
        <color indexed="30"/>
        <rFont val="Soberana Sans"/>
      </rPr>
      <t xml:space="preserve">
</t>
    </r>
  </si>
  <si>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</si>
  <si>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D 9 A1.2. Aplicación de acciones de vigilancia epidemiológica de riesgos zoosanitarios no controlados.</t>
  </si>
  <si>
    <r>
      <t>A1.2.- Porcentaje de cobertura de sitios de riesgo con acciones de vigilancia epidemiológica zoosanitaria activa de enfermedades exóticas.</t>
    </r>
    <r>
      <rPr>
        <i/>
        <sz val="10"/>
        <color indexed="30"/>
        <rFont val="Soberana Sans"/>
      </rPr>
      <t xml:space="preserve">
</t>
    </r>
  </si>
  <si>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</si>
  <si>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D 10 A1.1. Aplicación de estrategias de vigilancia epidemiológica de riesgos fitosanitarios no controlados.</t>
  </si>
  <si>
    <r>
      <t>A1.1.- Porcentaje de cobertura de sitios de riesgo con acciones de vigilancia epidemiológica fitosanitaria de plagas cuarentenarias.</t>
    </r>
    <r>
      <rPr>
        <i/>
        <sz val="10"/>
        <color indexed="30"/>
        <rFont val="Soberana Sans"/>
      </rPr>
      <t xml:space="preserve">
</t>
    </r>
  </si>
  <si>
    <t>(Número de sitios de riesgo con acciones de vigilancia epidemiológica fitosanitaria de plagas cuarentenarias / Número de sitios de riesgo que requieren acciones de vigilancia epidemiológica fitosanitaria de plagas cuarentenarias) *100</t>
  </si>
  <si>
    <r>
      <t xml:space="preserve">F3.- Índice de estatus fitozoosanitario que se mejoran
</t>
    </r>
    <r>
      <rPr>
        <sz val="10"/>
        <rFont val="Soberana Sans"/>
        <family val="2"/>
      </rPr>
      <t>Sin Información,Sin Justificación</t>
    </r>
  </si>
  <si>
    <r>
      <t xml:space="preserve">F2.- Índice de estatus fitozoosanitario que se mantienen
</t>
    </r>
    <r>
      <rPr>
        <sz val="10"/>
        <rFont val="Soberana Sans"/>
        <family val="2"/>
      </rPr>
      <t>Sin Información,Sin Justificación</t>
    </r>
  </si>
  <si>
    <r>
      <t xml:space="preserve">Porcentaje del territorio nacional conservado libre de la mosca de la fruta
</t>
    </r>
    <r>
      <rPr>
        <sz val="10"/>
        <rFont val="Soberana Sans"/>
        <family val="2"/>
      </rPr>
      <t>Sin Información,Sin Justificación</t>
    </r>
  </si>
  <si>
    <r>
      <t xml:space="preserve">F4.-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</si>
  <si>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P1.- Porcentaje de estatus fitosanitarios que se mantienen
</t>
    </r>
    <r>
      <rPr>
        <sz val="10"/>
        <rFont val="Soberana Sans"/>
        <family val="2"/>
      </rPr>
      <t>Sin Información,Sin Justificación</t>
    </r>
  </si>
  <si>
    <r>
      <t xml:space="preserve">P2.- Porcentaje de estatus fitosanitarios que se mejoran
</t>
    </r>
    <r>
      <rPr>
        <sz val="10"/>
        <rFont val="Soberana Sans"/>
        <family val="2"/>
      </rPr>
      <t>Sin Información,Sin Justificación</t>
    </r>
  </si>
  <si>
    <r>
      <t xml:space="preserve">P3.- Porcentaje de estatus zoosanitarios que se mantienen.
</t>
    </r>
    <r>
      <rPr>
        <sz val="10"/>
        <rFont val="Soberana Sans"/>
        <family val="2"/>
      </rPr>
      <t>Sin Información,Sin Justificación</t>
    </r>
  </si>
  <si>
    <r>
      <t xml:space="preserve">P4.- Porcentaje de estatus zoosanitarios que se mejoran
</t>
    </r>
    <r>
      <rPr>
        <sz val="10"/>
        <rFont val="Soberana Sans"/>
        <family val="2"/>
      </rPr>
      <t>Sin Información,Sin Justificación</t>
    </r>
  </si>
  <si>
    <r>
      <t xml:space="preserve">P5.-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</si>
  <si>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C4.1.- Porcentaje de unidades de producción del sector agroalimentario, acuícola y pesquero que implementaron sistemas de reducción de riesgos de contaminación y buenas prácticas
</t>
    </r>
    <r>
      <rPr>
        <sz val="10"/>
        <rFont val="Soberana Sans"/>
        <family val="2"/>
      </rPr>
      <t xml:space="preserve"> Causa : La meta presenta un ligera variación debido a que la atención a unidades de producción se realiza a través de programas voluntarios a solicitud de parte del productor y en este periodo se apoyaron más unidades de las estimadas. Efecto: Sin efectos cuantificables toda vez que se apoya a un número mayor de unidades de producción para la implementación de los SRRC. Otros Motivos:</t>
    </r>
  </si>
  <si>
    <r>
      <t xml:space="preserve">C4.2.- Porcentaje de cabezas de ganado sacrificada en establecimientos dedicados al sacrifico TIF
</t>
    </r>
    <r>
      <rPr>
        <sz val="10"/>
        <rFont val="Soberana Sans"/>
        <family val="2"/>
      </rPr>
      <t xml:space="preserve"> Causa : Se supera ligeramente la meta debido a que  los incentivos presupuestales que se otorgaron a través del Programa han contribuido a que el número de cabezas de ganado bovino y porcino sacrificado en establecimientos TIF  incremente. Efecto: El efecto es positivo dado que se fortalece el interés de los productores para que acuden a sacrificar su ganado en Rastros TIF. Otros Motivos:</t>
    </r>
  </si>
  <si>
    <r>
      <t xml:space="preserve">C2.- Índice de estrategias de vigilancia para la detección de plagas y enfermedades no cuarentenarias reglamentadas
</t>
    </r>
    <r>
      <rPr>
        <sz val="10"/>
        <rFont val="Soberana Sans"/>
        <family val="2"/>
      </rPr>
      <t xml:space="preserve"> Causa : La meta está por debajo de lo programado porque no se han podido aplicar  todas las estrategias de vigilancia zoosanitaria  programadas, lo anterior debido al retraso en la radicación de la totalidad de los recusos programados a las instancias ejecutoras.  Efecto: El efecto es negativo pues existe retraso en la aplicación de las estrategias zoosanitarias para la detección de plagas y enfermedades no cuarentenarias reglamentadas.  Otros Motivos:</t>
    </r>
  </si>
  <si>
    <r>
      <t xml:space="preserve">C3.- Porcentaje de programas de trabajo fitozoosanitarios y acuícolas implementados conforme a las estrategias establecidas
</t>
    </r>
    <r>
      <rPr>
        <sz val="10"/>
        <rFont val="Soberana Sans"/>
        <family val="2"/>
      </rPr>
      <t xml:space="preserve"> Causa : La metá está por debajo de lo programado debido a que programas zoosanitarios  presentan retraso conforme a la estrategia porque no les han sido radicados la totalidad de los recursos programados. Así mismo, se autorizaron 43 programas de trabajo más derivados de la asignación presupuestal interna,  por lo que el denominador incrementa y se hace el ajuste correspondiente para el siguiente periodo.  Efecto: El efecto es negativo toda vez que existe retraso en el cumplimiento de los programas de trabajo zoosanitarios y acuícolas. Otros Motivos:</t>
    </r>
  </si>
  <si>
    <r>
      <t xml:space="preserve">C1.- Índice de estrategias de vigilancia para la detección de plagas y enfermedades exóticas o cuarentenarias 
</t>
    </r>
    <r>
      <rPr>
        <sz val="10"/>
        <rFont val="Soberana Sans"/>
        <family val="2"/>
      </rPr>
      <t xml:space="preserve"> Causa : La meta está por debajo de lo programado porque no se han podido aplicar  todas las estrategias de vigilancia zoosanitaria  programadas, lo anterior debido al retraso en la radicación de la totalidad de los recusos programados a las instancias ejecutoras.  Efecto: El efecto es negativo pues existe retraso en la aplicación de las estrategias zoosanitarias para la detección de enfermedades zoosanitarias exóticas.  Otros Motivos:</t>
    </r>
  </si>
  <si>
    <r>
      <t xml:space="preserve">A4.2.1.- Porcentaje de Unidades de Producción del sector agroalimentario, acuícola y pesquero que implementan sistemas de reducción de riesgos hasta el 50%.
</t>
    </r>
    <r>
      <rPr>
        <sz val="10"/>
        <rFont val="Soberana Sans"/>
        <family val="2"/>
      </rPr>
      <t xml:space="preserve"> Causa : La meta presenta variación por debajo de lo programado, debido a que la atención a las unidades de producción se realiza a través de programas voluntarios a solicitud de parte del productor,y el avance en la implementación en este rango durante el periodo fue menor al estimado. Efecto: Sin efectos cuantificables toda vez que la variación de la meta no es significativa. Otros Motivos:</t>
    </r>
  </si>
  <si>
    <r>
      <t xml:space="preserve">A4.2.2.- Porcentaje de unidades de producción del sector agroalimentario, acuícola y pesquero que implementan sistemas de reducción de riesgos entre el 51 y 75%.
</t>
    </r>
    <r>
      <rPr>
        <sz val="10"/>
        <rFont val="Soberana Sans"/>
        <family val="2"/>
      </rPr>
      <t xml:space="preserve"> Causa : 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 Efecto: Sin efectos cuantificables toda vez que la variación de meta no es significativa. Otros Motivos:</t>
    </r>
  </si>
  <si>
    <r>
      <t xml:space="preserve">A4.2.3.- Porcentaje de unidades de producción del sector agroalimentario, acuícola y pesquero que implementan sistemas de reducción de riesgos entre el 76 y 100%.
</t>
    </r>
    <r>
      <rPr>
        <sz val="10"/>
        <rFont val="Soberana Sans"/>
        <family val="2"/>
      </rPr>
      <t xml:space="preserve"> Causa : La meta está  ligeramente por arriba de lo programado debido a que la atención a unidades de producción se realiza a través de programas voluntarios a solicitud de parte del productor y en este periodo el numero de unidades que avanzaron a este rango de  implementación fue mayor al estimado. Efecto: El efecto es positivo  toda vez que se contribuye al acceso de los productos mexicanos a mercados nacionales e internacionales al cumplir con la normatividad en materia de inocuidad.  Otros Motivos:</t>
    </r>
  </si>
  <si>
    <r>
      <t xml:space="preserve">A4.1.- Porcentaje de cabezas de ganado sacrificado con buenas prácticas con aplicación de incentivos del Programa.
</t>
    </r>
    <r>
      <rPr>
        <sz val="10"/>
        <rFont val="Soberana Sans"/>
        <family val="2"/>
      </rPr>
      <t xml:space="preserve"> Causa : La meta está por debajo de lo programado derivado del atraso en la ministración de recursos, queda pendiente el ejercicio del  25.58% del pesupuesto autoizado al periodo. Efecto: El efecto es negativo toda vez que los productores pierdan interés en acudir a sacrificar su ganado en los Rastros TIF. Otros Motivos:</t>
    </r>
  </si>
  <si>
    <r>
      <t xml:space="preserve">A2.3.- Porcentaje  de cobertura de sitios de riesgo con acciones de vigilancia epidemiológica zoosanitaria activa de plagas y enfermedades endémicas reglamentadas.
</t>
    </r>
    <r>
      <rPr>
        <sz val="10"/>
        <rFont val="Soberana Sans"/>
        <family val="2"/>
      </rPr>
      <t xml:space="preserve"> Causa : El comportamiento de la meta esta  de acuerdo a lo programado. Efecto: El comportamiento de la meta esta  de acuerdo a lo programado. Otros Motivos:</t>
    </r>
  </si>
  <si>
    <r>
      <t xml:space="preserve">A2.2.- Porcentaje de cobertura de sitios de riesgo con acciones de vigilancia epidemiológica fitosanitaria de plagas no cuarentenarias.
</t>
    </r>
    <r>
      <rPr>
        <sz val="10"/>
        <rFont val="Soberana Sans"/>
        <family val="2"/>
      </rPr>
      <t xml:space="preserve"> Causa : La meta está por arriba de lo programado debido a la incorporación del estado de Oaxaca, considerado que sus acciones de vigilancia se empezaron a realizar a partir de este trimestre con recursos del programa S263. Efecto: El efecto es positivo debido a que se incrementó la cobertura de los sitios de riesgo fitosanitario. Otros Motivos:</t>
    </r>
  </si>
  <si>
    <r>
      <t xml:space="preserve">A2.1.- Porcentaje de sitios de inspección con infraestructura y equipo mejorados.
</t>
    </r>
    <r>
      <rPr>
        <sz val="10"/>
        <rFont val="Soberana Sans"/>
        <family val="2"/>
      </rPr>
      <t xml:space="preserve"> Causa : La meta está por debajo de lo Programado debido a que en algunos Sitios de Inspección, por necesidades operativas el recurso fue utilizado en conceptos de gasto de operación y en mejoramiento de infraestructura y equipamiento. Efecto: Sin efectos cuantificables toda vez que los PVI s continúa con las actividades de inspección.  Otros Motivos:</t>
    </r>
  </si>
  <si>
    <r>
      <t xml:space="preserve">A3.3.- Porcentaje de acciones aplicadas para el control y/o erradicación de plagas y enfermedades zoosanitarias reglamentadas.
</t>
    </r>
    <r>
      <rPr>
        <sz val="10"/>
        <rFont val="Soberana Sans"/>
        <family val="2"/>
      </rPr>
      <t xml:space="preserve"> Causa : El comportamiento de la meta esta  de acuerdo a lo programado. Efecto: El comportamiento de la meta esta  de acuerdo a lo programado. Otros Motivos:</t>
    </r>
  </si>
  <si>
    <r>
      <t xml:space="preserve">A3.2.- Porcentaje de acciones implementadas para la prevención,  control o erradicación de plagas fitosanitarias reglamentadas
</t>
    </r>
    <r>
      <rPr>
        <sz val="10"/>
        <rFont val="Soberana Sans"/>
        <family val="2"/>
      </rPr>
      <t xml:space="preserve"> Causa : La meta esta ligeramente por arriba de lo programado debido a que con el propósito de cumplir con los objetivos de las campañas fitosanitarias se ejecutaron las acciones prioritarias realizando una acción más de las programadas. Efecto: El efecto es positivo ya que se tiene un mejor impacto en la prevención, control o erradicación de las plagas reglamentadas. Otros Motivos:</t>
    </r>
  </si>
  <si>
    <r>
      <t xml:space="preserve">A3.1.- Porcentaje de Unidades de Producción Acuícola con asistencia técnica para la prevención  o control de enfermedades acuícolas
</t>
    </r>
    <r>
      <rPr>
        <sz val="10"/>
        <rFont val="Soberana Sans"/>
        <family val="2"/>
      </rPr>
      <t xml:space="preserve"> Causa : Se supera la meta debido a que se ha incrementado el padrón  de unidades de producción acuícola activas en algunos estados. Efecto: El efecto es positivo pues se atienden a más unidades de producción acuícola. Otros Motivos:</t>
    </r>
  </si>
  <si>
    <r>
      <t xml:space="preserve">A1.2.- Porcentaje de cobertura de sitios de riesgo con acciones de vigilancia epidemiológica zoosanitaria activa de enfermedades exóticas.
</t>
    </r>
    <r>
      <rPr>
        <sz val="10"/>
        <rFont val="Soberana Sans"/>
        <family val="2"/>
      </rPr>
      <t xml:space="preserve"> Causa : El comportamiento de la meta está de acuerdo a lo programado. Efecto: El comportamiento de la meta está de acuerdo a lo programado. Otros Motivos:</t>
    </r>
  </si>
  <si>
    <r>
      <t xml:space="preserve">A1.1.- Porcentaje de cobertura de sitios de riesgo con acciones de vigilancia epidemiológica fitosanitaria de plagas cuarentenarias.
</t>
    </r>
    <r>
      <rPr>
        <sz val="10"/>
        <rFont val="Soberana Sans"/>
        <family val="2"/>
      </rPr>
      <t xml:space="preserve"> Causa : La meta está por arriba de lo programado debido a que durante este trimestre se movilizaron las trampas con la finalidad de ampliar la cobertura de vigilancia contra plagas cuarentenarias Efecto: El efecto es positivo debido a que se incrementó la cobertura de los sitios de riesgo fitosanitario. Otros Motivos:</t>
    </r>
  </si>
  <si>
    <t>S266</t>
  </si>
  <si>
    <t>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</si>
  <si>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</si>
  <si>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</si>
  <si>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Unidades Económicas Rurales conformadas por pequeños productores incrementan la disponibilidad de alimentos.</t>
  </si>
  <si>
    <r>
      <t>Porcentaje de Pequeños Productores que perciben un incremento en su producción por el apoyo recibido</t>
    </r>
    <r>
      <rPr>
        <i/>
        <sz val="10"/>
        <color indexed="30"/>
        <rFont val="Soberana Sans"/>
      </rPr>
      <t xml:space="preserve">
</t>
    </r>
  </si>
  <si>
    <t>(Número de pequeños productores entrevistados que perciben un incremento en su producción por el apoyo recibido / Número de pequeños productores entrevistados)*100</t>
  </si>
  <si>
    <t>A C7. Los pequeños productores de café apoyados con incentivos económicos integrales para aumentar su productividad.</t>
  </si>
  <si>
    <r>
      <t>C7.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</si>
  <si>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</si>
  <si>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B C1. Jóvenes rurales apoyados para su arraigo y emprendimiento en sus comunidades de origen</t>
  </si>
  <si>
    <r>
      <t>C1. Porcentaje de jóvenes rurales apoyados para su arraigo y emprendimiento</t>
    </r>
    <r>
      <rPr>
        <i/>
        <sz val="10"/>
        <color indexed="30"/>
        <rFont val="Soberana Sans"/>
      </rPr>
      <t xml:space="preserve">
</t>
    </r>
  </si>
  <si>
    <t>(Número total de jóvenes rurales apoyados para arraigo /Número total de jóvenes rurales  programados para arraigo )*100</t>
  </si>
  <si>
    <r>
      <t xml:space="preserve">C1.2 Porcentaje de personas entre 18 y 35 años pertenecientes a localidades rurales de los estratos E1, E2 y E3 apoyadas para ejecutar proyectos de producción primaria y agregación de valor.  </t>
    </r>
    <r>
      <rPr>
        <i/>
        <sz val="10"/>
        <color indexed="30"/>
        <rFont val="Soberana Sans"/>
      </rPr>
      <t xml:space="preserve">
</t>
    </r>
  </si>
  <si>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</si>
  <si>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 C8. Los pequeños productores de maíz y frijol apoyados con incentivos económicos integrales para aumentar su productividad.</t>
  </si>
  <si>
    <r>
      <t>C8. Porcentaje de Pequeños productores de maíz y frijol apoyados con incentivos para la producción</t>
    </r>
    <r>
      <rPr>
        <i/>
        <sz val="10"/>
        <color indexed="30"/>
        <rFont val="Soberana Sans"/>
      </rPr>
      <t xml:space="preserve">
</t>
    </r>
  </si>
  <si>
    <t>[((Número de pequeños productores de maíz y frijol apoyados con incentivos para la producción) / (Total de pequeños productores de maíz y frijol que solicitan incentivos para la producción ) *100]</t>
  </si>
  <si>
    <t>D C4. Personas en condición de pobreza en zonas rurales y periurbanas y pequeños productores rurales de localidades de alta y muy alta marginación apoyados para incrementar la dotación de paquetes productivos y la agregación de valor de sus procesos productivos.</t>
  </si>
  <si>
    <r>
      <t>C4.2 Porcentaje de pequeñas productoras rurales pertenecientes a los estratos E1, E2 y E3  apoyadas para ejecutar proyectos de producción primaria y agregación de valor.</t>
    </r>
    <r>
      <rPr>
        <i/>
        <sz val="10"/>
        <color indexed="30"/>
        <rFont val="Soberana Sans"/>
      </rPr>
      <t xml:space="preserve">
</t>
    </r>
  </si>
  <si>
    <t>(Número de pequeñas productoras rurales, pertenecientes a los estratos E1, E2 y E3  apoyadas para ejecutar proyectos de producción primaria y agregación de valor /Número de pequeñas productoras rurales, pertenecientes a los estratos E1, E2 y E3 )*100</t>
  </si>
  <si>
    <r>
      <t>C4.1 Porcentaje de mujeres mayores de 18 años en condición de pobreza pertenecientes a localidades rurales y periurbanas apoyadas con paquetes, para la instalación de huertos y módulos de gallinas o conejos.</t>
    </r>
    <r>
      <rPr>
        <i/>
        <sz val="10"/>
        <color indexed="30"/>
        <rFont val="Soberana Sans"/>
      </rPr>
      <t xml:space="preserve">
</t>
    </r>
  </si>
  <si>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</si>
  <si>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E C9. Grupos de mujeres y hombres que habitan en núcleos agrarios apoyados con proyectos productivos.</t>
  </si>
  <si>
    <r>
      <t>C9. Porcentaje de grupos de mujeres y hombres en núcleos agrarios apoyados con proyectos productivos.</t>
    </r>
    <r>
      <rPr>
        <i/>
        <sz val="10"/>
        <color indexed="30"/>
        <rFont val="Soberana Sans"/>
      </rPr>
      <t xml:space="preserve">
</t>
    </r>
  </si>
  <si>
    <t>(Número total de grupos de mujeres y hombres en núcleos agrarios apoyados/Número total de grupos de mujeres y hombres en núcleos agrarios con solicitudes para proyectos productivos técnicamente validadas)*100</t>
  </si>
  <si>
    <t>F C5. Pequeños productores de las Unidades Económicas Rurales apoyados con con servicios de extensión, desarrollo de capacidades y capacitación.</t>
  </si>
  <si>
    <r>
      <t>C5. Porcentaje de pequeños productores apoyados con servicios de  extensión, desarrollo de capacidades y capacitación.</t>
    </r>
    <r>
      <rPr>
        <i/>
        <sz val="10"/>
        <color indexed="30"/>
        <rFont val="Soberana Sans"/>
      </rPr>
      <t xml:space="preserve">
</t>
    </r>
  </si>
  <si>
    <t>(Número total de pequeños productores apoyados con servicios de  extensión, desarrollo de capacidades y capacitación/ Número total de pequeños productores solicitantes con dictamen positivo)* 100</t>
  </si>
  <si>
    <t>G C11. Unidades de producción de alta y muy alta marginación apoyadas para contribuir en su seguridad y condición alimentaria</t>
  </si>
  <si>
    <r>
      <t xml:space="preserve">C11. Porcentaje de productores beneficiarios de alta y muy alta marginación que pertenecen a una unidad de producción familiar apoyados  con incentivos del PESA para la producción de  alimentos, que contribuyen  a su  seguridad alimentaria.  </t>
    </r>
    <r>
      <rPr>
        <i/>
        <sz val="10"/>
        <color indexed="30"/>
        <rFont val="Soberana Sans"/>
      </rPr>
      <t xml:space="preserve">
</t>
    </r>
  </si>
  <si>
    <t>(Número de productores beneficiarios  de alta y muy alta marginación apoyados con incentivos del PESA que producen alimentos  / Total de beneficiarios autorizados del PESA )*100</t>
  </si>
  <si>
    <t>H C10. Capacidad de almacenamiento de agua y superficie incorporada al aprovechamiento sustentable del suelo incrementadas</t>
  </si>
  <si>
    <r>
      <t>C10.1 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</si>
  <si>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t>
  </si>
  <si>
    <r>
      <t>C10.2 Tasa de variación de la superficie agropecuaria incorporada al aprovechamiento sustentable</t>
    </r>
    <r>
      <rPr>
        <i/>
        <sz val="10"/>
        <color indexed="30"/>
        <rFont val="Soberana Sans"/>
      </rPr>
      <t xml:space="preserve">
</t>
    </r>
  </si>
  <si>
    <t xml:space="preserve">[((Hectáreas incorporadas al aprovechamiento sustentable del suelo y agua en el año tn)/(Hectáreas incorporadas al aprovechamiento sustentable de suelo y agua en el año t0))]*100]-100. </t>
  </si>
  <si>
    <t>I C2. Productores agropecuarios apoyados para mejorar su capacidad adaptativa ante desastres naturales.</t>
  </si>
  <si>
    <r>
      <t>C2.3 Índice de siniestralidad</t>
    </r>
    <r>
      <rPr>
        <i/>
        <sz val="10"/>
        <color indexed="30"/>
        <rFont val="Soberana Sans"/>
      </rPr>
      <t xml:space="preserve">
</t>
    </r>
  </si>
  <si>
    <t>(monto de indemnizaciones pagadas contra desastres naturales/ total de primas pagadas) * 100</t>
  </si>
  <si>
    <t>Estratégico-Economía-Anual</t>
  </si>
  <si>
    <r>
      <t>C2.2 Potenciación de los incentivos económicos (Federal y Estatal) ante la ocurrencia de desastres naturales</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</si>
  <si>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</si>
  <si>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r>
      <t>C2.1 Porcentaje de productores apoyados para mejorar su capacidad adaptativa ante desastres naturales.</t>
    </r>
    <r>
      <rPr>
        <i/>
        <sz val="10"/>
        <color indexed="30"/>
        <rFont val="Soberana Sans"/>
      </rPr>
      <t xml:space="preserve">
</t>
    </r>
  </si>
  <si>
    <t>(Número de productores agropecuarios apoyados para mejorar su capacidad adaptativa ante desastres naturales/Número de productores agropecuarios elegibles)*100</t>
  </si>
  <si>
    <t>J C6. Organizaciones rurales apoyadas para su fortalecimiento.</t>
  </si>
  <si>
    <r>
      <t>C6. Porcentaje de Organizaciones Rurales apoyadas que incorporaron acciones y/o estrategias con temas estructurales afines al sector.</t>
    </r>
    <r>
      <rPr>
        <i/>
        <sz val="10"/>
        <color indexed="30"/>
        <rFont val="Soberana Sans"/>
      </rPr>
      <t xml:space="preserve">
</t>
    </r>
  </si>
  <si>
    <t xml:space="preserve">(Número de Organizaciones rurales apoyadas que incorporaron acciones y/o estrategias con temas afines al sector agroalimentario / Número de Organizaciones rurales que fueron apoyadas)*100   </t>
  </si>
  <si>
    <t>K C3. Productores de zonas áridas y semiáridas apoyados con proyectos integrales en municipios áridos y semiáridos del país.</t>
  </si>
  <si>
    <r>
      <t>C3.1 Porcentaje de variación de municipios de zonas áridas y semiáridas con proyectos integrales ejecutados</t>
    </r>
    <r>
      <rPr>
        <i/>
        <sz val="10"/>
        <color indexed="30"/>
        <rFont val="Soberana Sans"/>
      </rPr>
      <t xml:space="preserve">
</t>
    </r>
  </si>
  <si>
    <t xml:space="preserve">((Municipios de zonas áridas y semiáridas atendidos con proyectos en el año tn/Municipios de zonas áridas y semiáridas en el año t0)-1)*100 </t>
  </si>
  <si>
    <r>
      <t xml:space="preserve">C3.2 Porcentaje de productores que habitan en zonas áridas y semiáridas apoyados    </t>
    </r>
    <r>
      <rPr>
        <i/>
        <sz val="10"/>
        <color indexed="30"/>
        <rFont val="Soberana Sans"/>
      </rPr>
      <t xml:space="preserve">
</t>
    </r>
  </si>
  <si>
    <t xml:space="preserve">(Número de productores que habitan en zonas áridas y semiáridas apoyados en el año en curso /Número de productores que habitan en zonas áridas y semiáridas que solicitan apoyo en el año en curso)*100    </t>
  </si>
  <si>
    <t>A 1 A1.C7 Dictaminación de solicitudes</t>
  </si>
  <si>
    <r>
      <t>A1. C7 Porcentaje de solicitudes dictaminadas del PROCAFE</t>
    </r>
    <r>
      <rPr>
        <i/>
        <sz val="10"/>
        <color indexed="30"/>
        <rFont val="Soberana Sans"/>
      </rPr>
      <t xml:space="preserve">
</t>
    </r>
  </si>
  <si>
    <t>(Total de solicitudes dictaminadas del PROCAFE en el plazo establecido en las Reglas de Operación/Total de solicitudes recibidas de PROCAFE)*100</t>
  </si>
  <si>
    <t>B 2 A1.C1 Dictaminación de solicitudes</t>
  </si>
  <si>
    <r>
      <t>A1.C1 Porcentaje de solicitudes dictaminadas positivas</t>
    </r>
    <r>
      <rPr>
        <i/>
        <sz val="10"/>
        <color indexed="30"/>
        <rFont val="Soberana Sans"/>
      </rPr>
      <t xml:space="preserve">
</t>
    </r>
  </si>
  <si>
    <t>(Número de solicitudes dictaminadas positivas/Número de solicitudes recibidas)*100</t>
  </si>
  <si>
    <t>B 3 A1.C1.2 Ditaminación de Solicitudes</t>
  </si>
  <si>
    <r>
      <t>A1. C1.2 Porcentaje de solicitudes autorizadas de proyectos de producción primaria y agregación de valor del componente Arráigate</t>
    </r>
    <r>
      <rPr>
        <i/>
        <sz val="10"/>
        <color indexed="30"/>
        <rFont val="Soberana Sans"/>
      </rPr>
      <t xml:space="preserve">
</t>
    </r>
  </si>
  <si>
    <t xml:space="preserve">(Número de solicitudes autorizadas de proyectos de producción primaria y agregación de valor del componente Arráigate /Número de solicitudes recibidas de proyectos de producción primaria y agregación de valor del componente Arráigate)*100  </t>
  </si>
  <si>
    <t>C 4 A1.C8 Dictaminación de solicitudes</t>
  </si>
  <si>
    <r>
      <t>A1.C8 Porcentaje de solicitudes de pequeños productores de maíz y frijol dictaminadas para la obtención de incentivos para la producción</t>
    </r>
    <r>
      <rPr>
        <i/>
        <sz val="10"/>
        <color indexed="30"/>
        <rFont val="Soberana Sans"/>
      </rPr>
      <t xml:space="preserve">
</t>
    </r>
  </si>
  <si>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</si>
  <si>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D 5 A2.C4 Autorización de solicitudes para proyectos de producción primaria y agregación de valor.</t>
  </si>
  <si>
    <r>
      <t>A2.C4 Porcentaje de solicitudes autorizadas de proyectos de producción primaria y agregación de valor.</t>
    </r>
    <r>
      <rPr>
        <i/>
        <sz val="10"/>
        <color indexed="30"/>
        <rFont val="Soberana Sans"/>
      </rPr>
      <t xml:space="preserve">
</t>
    </r>
  </si>
  <si>
    <t>(Numero de solicitudes autorizadas de proyectos de producción primaria y agregación de valor/Número de solicitudes recibidas de proyectos de producción primaria y agregación de valor)*100</t>
  </si>
  <si>
    <t>D 6 A1.C4 Autorización de solicitudes para huertos y módulos de gallinas o conejos</t>
  </si>
  <si>
    <r>
      <t>A1.C4 Porcentaje de solicitudes autorizadas para la instalación de huertos y módulos de gallinas o conejos.</t>
    </r>
    <r>
      <rPr>
        <i/>
        <sz val="10"/>
        <color indexed="30"/>
        <rFont val="Soberana Sans"/>
      </rPr>
      <t xml:space="preserve">
</t>
    </r>
  </si>
  <si>
    <t>(Número de solicitudes autorizadas para la instalación de huertos y módulos de gallinas o conejos /Número de solicitudes recibidas para la instalación de huertos y módulos de gallinas o conejos)*100</t>
  </si>
  <si>
    <t>E 7 A2.C9 Inducción informativa a integrantes de los grupos autorizados sobre el Componente.</t>
  </si>
  <si>
    <r>
      <t>A2.C9 Porcentaje de mujeres y hombres con proyectos productivos autorizados que asisten a la inducción informativa sobre el componente</t>
    </r>
    <r>
      <rPr>
        <i/>
        <sz val="10"/>
        <color indexed="30"/>
        <rFont val="Soberana Sans"/>
      </rPr>
      <t xml:space="preserve">
</t>
    </r>
  </si>
  <si>
    <t>(Número de mujeres y hombres con proyectos productivos autorizados que asisten a la inducción informativa/ Número de mujeres y hombres de grupos con proyectos productivos autorizados)*100</t>
  </si>
  <si>
    <t>E 8 A1.C9 Dictaminación técnica de proyectos productivos procedentes</t>
  </si>
  <si>
    <r>
      <t>A1.C9 Porcentaje de proyectos productivos dictaminados técnicamente.</t>
    </r>
    <r>
      <rPr>
        <i/>
        <sz val="10"/>
        <color indexed="30"/>
        <rFont val="Soberana Sans"/>
      </rPr>
      <t xml:space="preserve">
</t>
    </r>
  </si>
  <si>
    <t>(Número total de proyectos productivos dictaminados técnicamente/Número total de proyectos productivos procedentes a ser dictaminados técnicamente)*100</t>
  </si>
  <si>
    <t>F 9 A1.C5 Extensionistas seleccionados en tiempo y forma en las entidades federativas</t>
  </si>
  <si>
    <r>
      <t>A1.C5 Porcentaje de extensionistas contratados en el año t</t>
    </r>
    <r>
      <rPr>
        <i/>
        <sz val="10"/>
        <color indexed="30"/>
        <rFont val="Soberana Sans"/>
      </rPr>
      <t xml:space="preserve">
</t>
    </r>
  </si>
  <si>
    <t>(Número de extensionistas contratados en el año t /Número total de extensionistas programados a contratar en el año t)*100</t>
  </si>
  <si>
    <t>G 10 A1.C11 Dictaminación del Desempeño de las Agencias de Desarrollo Rural</t>
  </si>
  <si>
    <r>
      <t xml:space="preserve">A1.C11 Porcentaje de Agencias de Desarrollo Rural PESA  con dictamen </t>
    </r>
    <r>
      <rPr>
        <i/>
        <sz val="10"/>
        <color indexed="30"/>
        <rFont val="Soberana Sans"/>
      </rPr>
      <t xml:space="preserve">
</t>
    </r>
  </si>
  <si>
    <t>(Agencias de Desarrollo Rural (ADR) con dictamen/Total de Agencias de Desarrollo Rural) *100</t>
  </si>
  <si>
    <t>H 11 A1.C10 Otorgamiento de apoyos para infraestructura de captación, manejo y almacenamiento de agua.</t>
  </si>
  <si>
    <r>
      <t>A1.C10 Porcentaje del recurso comprometido para infraestructura de captación, manejo y almacenamiento de agua con respecto al total del recurso de Inversión del Componente</t>
    </r>
    <r>
      <rPr>
        <i/>
        <sz val="10"/>
        <color indexed="30"/>
        <rFont val="Soberana Sans"/>
      </rPr>
      <t xml:space="preserve">
</t>
    </r>
  </si>
  <si>
    <t>(Presupuesto comprometido para conservación de suelo e infraestructura de captación, manejo y almacenamiento de agua /Total  de recurso asignado al componente en 2017)*100</t>
  </si>
  <si>
    <t>H 12 A2.C10 Seguimiento a la supervisión de infraestructura para el aprovechamiento sustentable de suelo y agua</t>
  </si>
  <si>
    <r>
      <t>A2.C10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</si>
  <si>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</si>
  <si>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t>I 13 A1.C2 Contratación de Pólizas para asegurar activos productivos ante la ocurrencia de siniestros</t>
  </si>
  <si>
    <r>
      <t>A1.2.C2 Porcentaje de superficie elegible asegurada ante la ocurrencia de siniestros</t>
    </r>
    <r>
      <rPr>
        <i/>
        <sz val="10"/>
        <color indexed="30"/>
        <rFont val="Soberana Sans"/>
      </rPr>
      <t xml:space="preserve">
</t>
    </r>
  </si>
  <si>
    <t>(Superficie elegible asegurada contra siniestros / total de superficie elegible)*100</t>
  </si>
  <si>
    <r>
      <t>A1.C2 Porcentaje de unidades animal aseguradas ante la ocurrencia de siniestros</t>
    </r>
    <r>
      <rPr>
        <i/>
        <sz val="10"/>
        <color indexed="30"/>
        <rFont val="Soberana Sans"/>
      </rPr>
      <t xml:space="preserve">
</t>
    </r>
  </si>
  <si>
    <t>(Unidades animal elegible asegurada contra desastres naturales /total de unidades animal elegible)*100</t>
  </si>
  <si>
    <t>J 14 A2.C6 Dictaminación de solicitudes.</t>
  </si>
  <si>
    <r>
      <t>A2.C6 Porcentaje de solicitudes de Organizaciones Rurales evaluadas en el plazo establecido en las Reglas de Operación.</t>
    </r>
    <r>
      <rPr>
        <i/>
        <sz val="10"/>
        <color indexed="30"/>
        <rFont val="Soberana Sans"/>
      </rPr>
      <t xml:space="preserve">
</t>
    </r>
  </si>
  <si>
    <t>(Total de solicitudes evaluadas en el plazo establecido en las Reglas de Operación/Total de solicitudes recibidas)*100</t>
  </si>
  <si>
    <t>J 15 A1.C6 Verificación del programa de fortalecimiento de las organizaciones rurales</t>
  </si>
  <si>
    <r>
      <t>A1.C6 Porcentaje de organizaciones rurales supervisadas.</t>
    </r>
    <r>
      <rPr>
        <i/>
        <sz val="10"/>
        <color indexed="30"/>
        <rFont val="Soberana Sans"/>
      </rPr>
      <t xml:space="preserve">
</t>
    </r>
  </si>
  <si>
    <t>(Organizaciones rurales supervisadas/Organizaciones rurales apoyadas)*100</t>
  </si>
  <si>
    <t>K 16 A1.C3 Otorgamiento de apoyos</t>
  </si>
  <si>
    <r>
      <t xml:space="preserve">A1.C3 Porcentaje proyectos integrales apoyados     </t>
    </r>
    <r>
      <rPr>
        <i/>
        <sz val="10"/>
        <color indexed="30"/>
        <rFont val="Soberana Sans"/>
      </rPr>
      <t xml:space="preserve">
</t>
    </r>
  </si>
  <si>
    <t xml:space="preserve">(Número de proyectos integrales apoyados en el año en curso /Número de proyectos integrales solicitados en el año en curso)*100    </t>
  </si>
  <si>
    <r>
      <t xml:space="preserve">Porcentaje de Pequeños Productores que perciben un incremento en su producción por el apoyo recibido
</t>
    </r>
    <r>
      <rPr>
        <sz val="10"/>
        <rFont val="Soberana Sans"/>
        <family val="2"/>
      </rPr>
      <t>Sin Información,Sin Justificación</t>
    </r>
  </si>
  <si>
    <r>
      <t xml:space="preserve">C7. Porcentaje de pequeños productores de café apoyados.
</t>
    </r>
    <r>
      <rPr>
        <sz val="10"/>
        <rFont val="Soberana Sans"/>
        <family val="2"/>
      </rPr>
      <t xml:space="preserve"> Causa : En este ciclo fiscal se agilizó la firma de convenios con instancias ejecutorias como INCAFECH, CDI, FEFA  - FIRA, lo que ha permitido que el componente funcione de manera eficiente y adecuada desde el primer semestre del año.   Efecto: Positivo, se avanza de manera eficaz con la dictaminación y pagos en beneficio de los productores, en este primer semestre se apoyo a 5,368 productores más a los programados.   Otros Motivos:</t>
    </r>
  </si>
  <si>
    <r>
      <t xml:space="preserve">C1. Porcentaje de jóvenes rurales apoyados para su arraigo y emprendimiento
</t>
    </r>
    <r>
      <rPr>
        <sz val="10"/>
        <rFont val="Soberana Sans"/>
        <family val="2"/>
      </rPr>
      <t>Sin Información,Sin Justificación</t>
    </r>
  </si>
  <si>
    <r>
      <t xml:space="preserve">C1.2 Porcentaje de personas entre 18 y 35 años pertenecientes a localidades rurales de los estratos E1, E2 y E3 apoyadas para ejecutar proyectos de producción primaria y agregación de valor.  
</t>
    </r>
    <r>
      <rPr>
        <sz val="10"/>
        <rFont val="Soberana Sans"/>
        <family val="2"/>
      </rPr>
      <t>Sin Información,Sin Justificación</t>
    </r>
  </si>
  <si>
    <r>
      <t xml:space="preserve">C8. Porcentaje de Pequeños productores de maíz y frijol apoyados con incentivos para la producción
</t>
    </r>
    <r>
      <rPr>
        <sz val="10"/>
        <rFont val="Soberana Sans"/>
        <family val="2"/>
      </rPr>
      <t xml:space="preserve"> Causa : El avance menor al programado obedece a que las restricciones para la entrega de apoyos con motivo del proceso electoral influyó para que la recepción de apoyos por parte de los productores  fuera menor a lo esperado, asimismo, los productores solicitantes que resultan dictaminados como positivos tienen 90 días para acudir a las ventanillas para recepcionar sus apoyos previa acreditación de los documentos requeridos conforme a Reglas de Operación, por lo que de acuerdo a la fecha de publicación aún disponen de tiempo para recibir su incentivo.    Efecto: Existe mayor certeza del cumplimiento de la norma al verificar la documentación física conforme a la norma previo a la entrega del incentivo a cada beneficiario, asimismo en caso de no acreditar el cumplimiento de los requisitos señalados en el lapso de tiempo establecido permite la reasignación de recursos.   Otros Motivos:</t>
    </r>
  </si>
  <si>
    <r>
      <t xml:space="preserve">C4.2 Porcentaje de pequeñas productoras rurales pertenecientes a los estratos E1, E2 y E3  apoyadas para ejecutar proyectos de producción primaria y agregación de valor.
</t>
    </r>
    <r>
      <rPr>
        <sz val="10"/>
        <rFont val="Soberana Sans"/>
        <family val="2"/>
      </rPr>
      <t>Sin Información,Sin Justificación</t>
    </r>
  </si>
  <si>
    <r>
      <t xml:space="preserve">C4.1 Porcentaje de mujeres mayores de 18 años en condición de pobreza pertenecientes a localidades rurales y periurbanas apoyadas con paquetes, para la instalación de huertos y módulos de gallinas o conejos.
</t>
    </r>
    <r>
      <rPr>
        <sz val="10"/>
        <rFont val="Soberana Sans"/>
        <family val="2"/>
      </rPr>
      <t>Sin Información,Sin Justificación</t>
    </r>
  </si>
  <si>
    <r>
      <t xml:space="preserve">C9. Porcentaje de grupos de mujeres y hombres en núcleos agrarios apoyados con proyectos productivos.
</t>
    </r>
    <r>
      <rPr>
        <sz val="10"/>
        <rFont val="Soberana Sans"/>
        <family val="2"/>
      </rPr>
      <t xml:space="preserve"> Causa : La apertura anticipada del registro de solicitudes de apoyo del componente, permitió contar con una gran cantidad de proyectos, lo cual influyó en que se autorizaran más grupos, respecto a los que se tenían programados apoyar al trimestre.   Efecto: Una variación superior respecto a la meta programada, beneficia la consecución de los objetivos y metas del indicador a nivel componente, en virtud de que se logró apoyar a más grupos durante el primer semestre.     Otros Motivos:</t>
    </r>
  </si>
  <si>
    <r>
      <t xml:space="preserve">C5. Porcentaje de pequeños productores apoyados con servicios de  extensión, desarrollo de capacidades y capacitación.
</t>
    </r>
    <r>
      <rPr>
        <sz val="10"/>
        <rFont val="Soberana Sans"/>
        <family val="2"/>
      </rPr>
      <t xml:space="preserve"> Causa : Se sobrepasa la meta en 3.46% dado que por el blindaje electoral, se adelantó el proceso de contratación de los extensionistas. Efecto: Permitió iniciar antes de lo programado con la atención de los servicios de extensión, desarrollo de capacidades y capacitación proporcionados a los pequeños productores beneficiarios del Componente.    Otros Motivos:</t>
    </r>
  </si>
  <si>
    <r>
      <t xml:space="preserve">C11. Porcentaje de productores beneficiarios de alta y muy alta marginación que pertenecen a una unidad de producción familiar apoyados  con incentivos del PESA para la producción de  alimentos, que contribuyen  a su  seguridad alimentaria.  
</t>
    </r>
    <r>
      <rPr>
        <sz val="10"/>
        <rFont val="Soberana Sans"/>
        <family val="2"/>
      </rPr>
      <t>Sin Información,Sin Justificación</t>
    </r>
  </si>
  <si>
    <r>
      <t xml:space="preserve">C10.1 Porcentaje de variación de la capacidad de almacenamiento de agua
</t>
    </r>
    <r>
      <rPr>
        <sz val="10"/>
        <rFont val="Soberana Sans"/>
        <family val="2"/>
      </rPr>
      <t>Sin Información,Sin Justificación</t>
    </r>
  </si>
  <si>
    <r>
      <t xml:space="preserve">C10.2 Tasa de variación de la superficie agropecuaria incorporada al aprovechamiento sustentable
</t>
    </r>
    <r>
      <rPr>
        <sz val="10"/>
        <rFont val="Soberana Sans"/>
        <family val="2"/>
      </rPr>
      <t>Sin Información,Sin Justificación</t>
    </r>
  </si>
  <si>
    <r>
      <t xml:space="preserve">C2.3 Índice de siniestralidad
</t>
    </r>
    <r>
      <rPr>
        <sz val="10"/>
        <rFont val="Soberana Sans"/>
        <family val="2"/>
      </rPr>
      <t>Sin Información,Sin Justificación</t>
    </r>
  </si>
  <si>
    <r>
      <t xml:space="preserve">C2.2 Potenciación de los incentivos económicos (Federal y Estatal) ante la ocurrencia de desastres naturales
</t>
    </r>
    <r>
      <rPr>
        <sz val="10"/>
        <rFont val="Soberana Sans"/>
        <family val="2"/>
      </rPr>
      <t>Sin Información,Sin Justificación</t>
    </r>
  </si>
  <si>
    <r>
      <t xml:space="preserve">C2.1 Porcentaje de productores apoyados para mejorar su capacidad adaptativa ante desastres naturales.
</t>
    </r>
    <r>
      <rPr>
        <sz val="10"/>
        <rFont val="Soberana Sans"/>
        <family val="2"/>
      </rPr>
      <t>Sin Información,Sin Justificación</t>
    </r>
  </si>
  <si>
    <r>
      <t xml:space="preserve">C6. Porcentaje de Organizaciones Rurales apoyadas que incorporaron acciones y/o estrategias con temas estructurales afines al sector.
</t>
    </r>
    <r>
      <rPr>
        <sz val="10"/>
        <rFont val="Soberana Sans"/>
        <family val="2"/>
      </rPr>
      <t>Sin Información,Sin Justificación</t>
    </r>
  </si>
  <si>
    <r>
      <t xml:space="preserve">C3.1 Porcentaje de variación de municipios de zonas áridas y semiáridas con proyectos integrales ejecutados
</t>
    </r>
    <r>
      <rPr>
        <sz val="10"/>
        <rFont val="Soberana Sans"/>
        <family val="2"/>
      </rPr>
      <t>Sin Información,Sin Justificación</t>
    </r>
  </si>
  <si>
    <r>
      <t xml:space="preserve">C3.2 Porcentaje de productores que habitan en zonas áridas y semiáridas apoyados    
</t>
    </r>
    <r>
      <rPr>
        <sz val="10"/>
        <rFont val="Soberana Sans"/>
        <family val="2"/>
      </rPr>
      <t>Sin Información,Sin Justificación</t>
    </r>
  </si>
  <si>
    <r>
      <t xml:space="preserve">A1. C7 Porcentaje de solicitudes dictaminadas del PROCAFE
</t>
    </r>
    <r>
      <rPr>
        <sz val="10"/>
        <rFont val="Soberana Sans"/>
        <family val="2"/>
      </rPr>
      <t xml:space="preserve"> Causa : En este ciclo fiscal se agilizó la firma de convenios con instancias ejecutorias como INCAFECH, CDI, FEFA  - FIRA, lo que ha permitido que el componente funcione de manera eficiente y adecuada desde el primer semestre del año   Efecto: Positivo, se avanza de manera eficaz con la dictaminación y pagos en beneficio de los productores.    Otros Motivos:</t>
    </r>
  </si>
  <si>
    <r>
      <t xml:space="preserve">A1.C1 Porcentaje de solicitudes dictaminadas positivas
</t>
    </r>
    <r>
      <rPr>
        <sz val="10"/>
        <rFont val="Soberana Sans"/>
        <family val="2"/>
      </rPr>
      <t>Sin Información,Sin Justificación</t>
    </r>
  </si>
  <si>
    <r>
      <t xml:space="preserve">A1. C1.2 Porcentaje de solicitudes autorizadas de proyectos de producción primaria y agregación de valor del componente Arráigate
</t>
    </r>
    <r>
      <rPr>
        <sz val="10"/>
        <rFont val="Soberana Sans"/>
        <family val="2"/>
      </rPr>
      <t>Sin Información,Sin Justificación</t>
    </r>
  </si>
  <si>
    <r>
      <t xml:space="preserve">A1.C8 Porcentaje de solicitudes de pequeños productores de maíz y frijol dictaminadas para la obtención de incentivos para la producción
</t>
    </r>
    <r>
      <rPr>
        <sz val="10"/>
        <rFont val="Soberana Sans"/>
        <family val="2"/>
      </rPr>
      <t xml:space="preserve"> Causa : El porcentaje mayor que se reporta, deriva de que a la fecha se cuenta con la cifra definitiva de solicitudes recibidas por parte de pequeños productores de maíz y frijol para la obtención de apoyos PIMAF 2018, siendo menor a lo esperado inicialmente y por otra parte la sistematización del proceso de dictaminación permitió alcanzar  prácticamente las solicitudes inicialmente planteadas    Efecto: Los productores solicitantes conocen con mayor oportunidad el estatus de su solicitud de apoyo, y en su caso, continuar con el proceso para la autorización y recepción de su apoyo.   Otros Motivos:</t>
    </r>
  </si>
  <si>
    <r>
      <t xml:space="preserve">A2.C4 Porcentaje de solicitudes autorizadas de proyectos de producción primaria y agregación de valor.
</t>
    </r>
    <r>
      <rPr>
        <sz val="10"/>
        <rFont val="Soberana Sans"/>
        <family val="2"/>
      </rPr>
      <t>Sin Información,Sin Justificación</t>
    </r>
  </si>
  <si>
    <r>
      <t xml:space="preserve">A1.C4 Porcentaje de solicitudes autorizadas para la instalación de huertos y módulos de gallinas o conejos.
</t>
    </r>
    <r>
      <rPr>
        <sz val="10"/>
        <rFont val="Soberana Sans"/>
        <family val="2"/>
      </rPr>
      <t>Sin Información,Sin Justificación</t>
    </r>
  </si>
  <si>
    <r>
      <t xml:space="preserve">A2.C9 Porcentaje de mujeres y hombres con proyectos productivos autorizados que asisten a la inducción informativa sobre el componente
</t>
    </r>
    <r>
      <rPr>
        <sz val="10"/>
        <rFont val="Soberana Sans"/>
        <family val="2"/>
      </rPr>
      <t xml:space="preserve"> Causa : La autorización de una mayor cantidad de proyectos productivos ha permitido convocar a más mujeres y hombres, respecto a los que se tenían programados al trimestre, para asistir a la sesión de inducción informativa.     Efecto: La variación superior en el número de personas convocadas para asistir a la sesión de inducción, refleja la eficiencia operativa con la que cuenta el componente para dar cumplimiento a los procesos operativos del mismo. Otros Motivos:</t>
    </r>
  </si>
  <si>
    <r>
      <t xml:space="preserve">A1.C9 Porcentaje de proyectos productivos dictaminados técnicamente.
</t>
    </r>
    <r>
      <rPr>
        <sz val="10"/>
        <rFont val="Soberana Sans"/>
        <family val="2"/>
      </rPr>
      <t xml:space="preserve"> Causa : La reducción del número de dictaminadores propició que se contara con una menor cantidad de proyectos productivos dictaminados técnicamente, respecto a los que se tenían programados. Efecto: La variación registrada en el trimestre del 6.6% menor a la meta programada,  no afecta la consecución de los objetivos y metas del indicador, en virtud de que se buscará incrementar el número de proyectos a dictaminar por cada uno de los dictaminadores. Otros Motivos:</t>
    </r>
  </si>
  <si>
    <r>
      <t xml:space="preserve">A1.C5 Porcentaje de extensionistas contratados en el año t
</t>
    </r>
    <r>
      <rPr>
        <sz val="10"/>
        <rFont val="Soberana Sans"/>
        <family val="2"/>
      </rPr>
      <t xml:space="preserve"> Causa : Se tiene un avance de 67.97% derivado de que el proceso de contratación se inició antes de lo programado para el segundo trimestre, esto como consecuencia del blindaje electoral comprendido del mes de marzo al mes de junio. Efecto: Se contó con 3,942 extensionistas contratados al mes de junio lo que permitió iniciar antes de lo programado con la atención de los servicios de extensión, desarrollo de capacidades y capacitación proporcionados a los pequeños productores beneficiarios del Componente.  Otros Motivos:</t>
    </r>
  </si>
  <si>
    <r>
      <t xml:space="preserve">A1.C11 Porcentaje de Agencias de Desarrollo Rural PESA  con dictamen 
</t>
    </r>
    <r>
      <rPr>
        <sz val="10"/>
        <rFont val="Soberana Sans"/>
        <family val="2"/>
      </rPr>
      <t>Sin Información,Sin Justificación</t>
    </r>
  </si>
  <si>
    <r>
      <t xml:space="preserve">A1.C10 Porcentaje del recurso comprometido para infraestructura de captación, manejo y almacenamiento de agua con respecto al total del recurso de Inversión del Componente
</t>
    </r>
    <r>
      <rPr>
        <sz val="10"/>
        <rFont val="Soberana Sans"/>
        <family val="2"/>
      </rPr>
      <t xml:space="preserve"> Causa : La mera fue rebasada en un 88% ya que se buscó una eficiencia en la operación del componente en el presente ejercicio fiscal. En el año 2017, se elaboró una cartera de proyectos que al primer semestre del año ya fueron autorizados y por tanto el recurso a comprometido es mayor a lo proyectado.    Efecto: El efecto es positivo ya que la operación del componente no se vio afectada por la veda electoral, adicional a ello los productores contaron con el recurso a tiempo para iniciar con los proyectos de captación, manejo y almacenamiento de agua     Otros Motivos:</t>
    </r>
  </si>
  <si>
    <r>
      <t xml:space="preserve">A2.C10 Porcentaje de entidades supervisadas en el proceso operativo
</t>
    </r>
    <r>
      <rPr>
        <sz val="10"/>
        <rFont val="Soberana Sans"/>
        <family val="2"/>
      </rPr>
      <t xml:space="preserve"> Causa : Sin meta comprometida al periodo. Efecto: Sin meta comprometida al periodo. Otros Motivos:</t>
    </r>
  </si>
  <si>
    <r>
      <t xml:space="preserve">A1.2.C2 Porcentaje de superficie elegible asegurada ante la ocurrencia de siniestros
</t>
    </r>
    <r>
      <rPr>
        <sz val="10"/>
        <rFont val="Soberana Sans"/>
        <family val="2"/>
      </rPr>
      <t xml:space="preserve"> Causa : Al primer semestre se logró asegurar a 11.8 millones de hectáreas a nivel nacional, de las cuales el 98.1% son los beneficiarios preferentes los Gobiernos Estatales y del 1.9% los beneficiarios preferentes son los productores. La meta se sobrepasa principalmente por el interés de los Gobiernos Estatales. Efecto: Con estas coberturas en su conjunto permitieron que los Gobiernos Federal y Estatales, así como los productores, transfieran el riesgo a los agentes financieros especializados (empresas aseguradoras y/ Fondos de aseguramiento) y de esta manera pudieron atender más eficiente a los productores y a un menor costo presupuestal los daños en el sector agropecuario ante la ocurrencia de siniestros. Otros Motivos:</t>
    </r>
  </si>
  <si>
    <r>
      <t xml:space="preserve">A1.C2 Porcentaje de unidades animal aseguradas ante la ocurrencia de siniestros
</t>
    </r>
    <r>
      <rPr>
        <sz val="10"/>
        <rFont val="Soberana Sans"/>
        <family val="2"/>
      </rPr>
      <t xml:space="preserve"> Causa : Al primer semestre del año se superó la meta contemplada para todo el año de aseguramiento pecuario, de 36 a 37.7 millones de unidades animal a nivel nacional, en virtud a que creció el hato ganadero y el interés de aseguramiento por parte de los Gobiernos Estatales y los productores, logrando la protección de manera universal.  Efecto: Con estas coberturas en su conjunto permitieron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 Otros Motivos:</t>
    </r>
  </si>
  <si>
    <r>
      <t xml:space="preserve">A2.C6 Porcentaje de solicitudes de Organizaciones Rurales evaluadas en el plazo establecido en las Reglas de Operación.
</t>
    </r>
    <r>
      <rPr>
        <sz val="10"/>
        <rFont val="Soberana Sans"/>
        <family val="2"/>
      </rPr>
      <t>Sin Información,Sin Justificación</t>
    </r>
  </si>
  <si>
    <r>
      <t xml:space="preserve">A1.C6 Porcentaje de organizaciones rurales supervisadas.
</t>
    </r>
    <r>
      <rPr>
        <sz val="10"/>
        <rFont val="Soberana Sans"/>
        <family val="2"/>
      </rPr>
      <t>Sin Información,Sin Justificación</t>
    </r>
  </si>
  <si>
    <r>
      <t xml:space="preserve">A1.C3 Porcentaje proyectos integrales apoyados     
</t>
    </r>
    <r>
      <rPr>
        <sz val="10"/>
        <rFont val="Soberana Sans"/>
        <family val="2"/>
      </rPr>
      <t>Sin Información,Sin Justificación</t>
    </r>
  </si>
  <si>
    <t>U002</t>
  </si>
  <si>
    <t>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</si>
  <si>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</si>
  <si>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r>
      <t>F2. Índice de la actividad agroalimentaria.</t>
    </r>
    <r>
      <rPr>
        <i/>
        <sz val="10"/>
        <color indexed="30"/>
        <rFont val="Soberana Sans"/>
      </rPr>
      <t xml:space="preserve">
</t>
    </r>
  </si>
  <si>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</si>
  <si>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El riesgo de pérdida del patrimonio sanitario y de inocuidad agroalimentaria, acuícola y pesquera en las regiones del país disminuye.</t>
  </si>
  <si>
    <r>
      <t>P.3 Porcentaje de unidades de producción del sector agrícola, pecuario, acuícola y pesquero con Sistemas de Reducción de Riesgos de Contaminación implementado</t>
    </r>
    <r>
      <rPr>
        <i/>
        <sz val="10"/>
        <color indexed="30"/>
        <rFont val="Soberana Sans"/>
      </rPr>
      <t xml:space="preserve">
</t>
    </r>
  </si>
  <si>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</si>
  <si>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r>
      <t xml:space="preserve">P2. Porcentaje de plagas y enfermedades exóticas de los animales, consideradas de alto impacto, establecidas en el territorio nacional </t>
    </r>
    <r>
      <rPr>
        <i/>
        <sz val="10"/>
        <color indexed="30"/>
        <rFont val="Soberana Sans"/>
      </rPr>
      <t xml:space="preserve">
</t>
    </r>
  </si>
  <si>
    <t xml:space="preserve">(Número de plagas y enfermedades exóticas de los animales establecidas / Número de plagas y enfermedades exóticas de los animales con riesgo de establecerse en el territorio nacional </t>
  </si>
  <si>
    <r>
      <t>P1.Porcentaje de entradas de moscas del Mediterráneo atendidas</t>
    </r>
    <r>
      <rPr>
        <i/>
        <sz val="10"/>
        <color indexed="30"/>
        <rFont val="Soberana Sans"/>
      </rPr>
      <t xml:space="preserve">
</t>
    </r>
  </si>
  <si>
    <t>(Número de entradas de moscas del Mediterráneo atendidas en el año t / Número de entradas de moscas del Mediterráneo presentadas en el año t) * 100</t>
  </si>
  <si>
    <t>A C.2 Sistema de prevención, vigilancia y control zoosanitario implementado.</t>
  </si>
  <si>
    <r>
      <t>C2. Índice de implementación del sistema de prevención, vigilancia y control zoosanitario</t>
    </r>
    <r>
      <rPr>
        <i/>
        <sz val="10"/>
        <color indexed="30"/>
        <rFont val="Soberana Sans"/>
      </rPr>
      <t xml:space="preserve">
</t>
    </r>
  </si>
  <si>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</si>
  <si>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B C.3 Sistema de disminución de riesgos de contaminación durante la producción y procesamiento primario de productos de origen agrícola, pecuario, acuícola y pesquero implementado.</t>
  </si>
  <si>
    <r>
      <t>C3. Índice de actividades complementarias para la implementación de Sistemas de Reducción de Riesgos de Contaminación y Buenas Prácticas</t>
    </r>
    <r>
      <rPr>
        <i/>
        <sz val="10"/>
        <color indexed="30"/>
        <rFont val="Soberana Sans"/>
      </rPr>
      <t xml:space="preserve">
</t>
    </r>
  </si>
  <si>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</si>
  <si>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 C.1 Sistema de prevención, vigilancia, control y soporte técnico fitosanitario implementado.</t>
  </si>
  <si>
    <r>
      <t>C.1 Índice de implementación del sistema de prevención, vigilancia y control fitosanitario</t>
    </r>
    <r>
      <rPr>
        <i/>
        <sz val="10"/>
        <color indexed="30"/>
        <rFont val="Soberana Sans"/>
      </rPr>
      <t xml:space="preserve">
</t>
    </r>
  </si>
  <si>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</si>
  <si>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D C.4 Productores apicolas adquieren capacidades e instrumentos técnicos relativos al control de la abeja africanas</t>
  </si>
  <si>
    <r>
      <t xml:space="preserve">C4. Porcentaje de productores y técnicos apícolas que mejoraron capacidades para el control de la africanización respecto al total de productores y técnicos apícolas    </t>
    </r>
    <r>
      <rPr>
        <i/>
        <sz val="10"/>
        <color indexed="30"/>
        <rFont val="Soberana Sans"/>
      </rPr>
      <t xml:space="preserve">
</t>
    </r>
  </si>
  <si>
    <t xml:space="preserve">(Número de productores y técnicos apícolas que mejoraron sus capacidades técnicas en el año t/ Total de productores y técnicos apícolas en el año t) *100    </t>
  </si>
  <si>
    <t>A 1 A2.2 Implementación de medidas zoosanitarias para el diagnóstico, prevención y control de plagas y enfermedades.</t>
  </si>
  <si>
    <r>
      <t>A2.2.4 Porcentaje de medidas zoosanitarias aplicadas para el control de enfermedades endémicas</t>
    </r>
    <r>
      <rPr>
        <i/>
        <sz val="10"/>
        <color indexed="30"/>
        <rFont val="Soberana Sans"/>
      </rPr>
      <t xml:space="preserve">
</t>
    </r>
  </si>
  <si>
    <t>(Número de medidas zoosanitarias aplicadas para el control de enfermedades endémicas/ Número de medidas zoosanitarias necesarias para el control de enfermedades endémicas) * 100</t>
  </si>
  <si>
    <r>
      <t>A2.2.2 Porcentaje de actividades de prevención zoosanitaria aplicadas.</t>
    </r>
    <r>
      <rPr>
        <i/>
        <sz val="10"/>
        <color indexed="30"/>
        <rFont val="Soberana Sans"/>
      </rPr>
      <t xml:space="preserve">
</t>
    </r>
  </si>
  <si>
    <t>(Número de actividades de prevención zoosanitaria realizadas / Número de actividades de prevención zoosanitaria necesarias)*100</t>
  </si>
  <si>
    <r>
      <t>A2.2.1 Porcentaje de técnicas diagnósticas de plagas y enfermedades de los animales, derivadas de la notificación realizadas oportunamente</t>
    </r>
    <r>
      <rPr>
        <i/>
        <sz val="10"/>
        <color indexed="30"/>
        <rFont val="Soberana Sans"/>
      </rPr>
      <t xml:space="preserve">
</t>
    </r>
  </si>
  <si>
    <t>(Número de técnicas diagnósticas de plagas y enfermedades, derivadas de la notificación, realizadas en tiempo / Número de técnicas diagnósticas de plagas y enfermedades realizadas a las muestras derivadas de la notificación) *100</t>
  </si>
  <si>
    <r>
      <t>A2.2.3 Porcentaje de focos de plagas y enfermedades exóticas de los animales atendidos con medidas contra-epidémicas.</t>
    </r>
    <r>
      <rPr>
        <i/>
        <sz val="10"/>
        <color indexed="30"/>
        <rFont val="Soberana Sans"/>
      </rPr>
      <t xml:space="preserve">
</t>
    </r>
  </si>
  <si>
    <t>(Número de focos de plagas y enfermedades exóticas de los animales atendidos con medidas contra-epidémicas / Número de focos de plagas y enfermedades exóticas de los animales detectados)*100</t>
  </si>
  <si>
    <t>A 2 A2.1 Aplicación de medidas cuarentenarias en la importación y movilización nacional de productos pecuarios.</t>
  </si>
  <si>
    <r>
      <t>A2.1 Porcentaje de cargamentos pecuarios de importación y movilización nacional de alto riesgo sanitario detectados a los que se les aplican medidas cuarentenarias</t>
    </r>
    <r>
      <rPr>
        <i/>
        <sz val="10"/>
        <color indexed="30"/>
        <rFont val="Soberana Sans"/>
      </rPr>
      <t xml:space="preserve">
</t>
    </r>
  </si>
  <si>
    <t>(Número de cargamentos pecuarios de importación y movilización nacional de alto riesgo sanitario con medidas cuarentenarias aplicadas / Número de cargamentos pecuarios de importación y movilización nacional de alto riesgo sanitario detectados)*100</t>
  </si>
  <si>
    <t>B 3 A3.3 Complementación a la infraestructura en materia de sistemas de reducción de riesgos de contaminación.</t>
  </si>
  <si>
    <r>
      <t xml:space="preserve">A3.3 Porcentaje de unidades de producción del sector agrícola, pecuario, acuícola y pesquero apoyadas con complemento a la infraestructura </t>
    </r>
    <r>
      <rPr>
        <i/>
        <sz val="10"/>
        <color indexed="30"/>
        <rFont val="Soberana Sans"/>
      </rPr>
      <t xml:space="preserve">
</t>
    </r>
  </si>
  <si>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</si>
  <si>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B 4 A3.1 Otorgamiento de asistencia técnica en materia sistemas de reducción de riesgos de contaminación.</t>
  </si>
  <si>
    <r>
      <t>A3.1 Porcentaje de unidades de producción del sector agroalimentario, acuícola y pesquero atendidas con asistencia técnica para la prevención de presencia de contaminantes</t>
    </r>
    <r>
      <rPr>
        <i/>
        <sz val="10"/>
        <color indexed="30"/>
        <rFont val="Soberana Sans"/>
      </rPr>
      <t xml:space="preserve">
</t>
    </r>
  </si>
  <si>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</si>
  <si>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B 5 A3.2 Monitoreo de contaminantes en materia de sistemas de reducción de riesgos de contaminación.</t>
  </si>
  <si>
    <r>
      <t>A3.2 Porcentaje de muestras tomadas en unidades de producción del sector agrícola, pecuario, acuícola y pesquero para el monitoreo de contaminantes</t>
    </r>
    <r>
      <rPr>
        <i/>
        <sz val="10"/>
        <color indexed="30"/>
        <rFont val="Soberana Sans"/>
      </rPr>
      <t xml:space="preserve">
</t>
    </r>
  </si>
  <si>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</si>
  <si>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C 6 A1.1 Aplicación de medidas cuarentenarias en la importación y movilización nacional de productos agrícolas.</t>
  </si>
  <si>
    <r>
      <t>A1.1 Porcentaje de cargamentos agrícolas de importación y movilización nacional de alto riesgo sanitario detectados a los que se les aplican medidas cuarentenarias.</t>
    </r>
    <r>
      <rPr>
        <i/>
        <sz val="10"/>
        <color indexed="30"/>
        <rFont val="Soberana Sans"/>
      </rPr>
      <t xml:space="preserve">
</t>
    </r>
  </si>
  <si>
    <t>(Número de cargamentos agrícolas de importación y movilización nacional de alto riesgo sanitario con medidas cuarentenarias aplicadas / Número de cargamentos agrícolas de importación y movilización nacional de alto riesgo sanitario detectados)*100</t>
  </si>
  <si>
    <t>C 7 A1.3 Seguimiento a las acciones de vigilancia fitosanitaria.</t>
  </si>
  <si>
    <r>
      <t>A1.3 Porcentaje de informes de seguimiento a las acciones de vigilancia fitosanitaria..</t>
    </r>
    <r>
      <rPr>
        <i/>
        <sz val="10"/>
        <color indexed="30"/>
        <rFont val="Soberana Sans"/>
      </rPr>
      <t xml:space="preserve">
</t>
    </r>
  </si>
  <si>
    <t>(Número de informes de seguimiento a las acciones de vigilancia fitosanitaria elaborados / Número de informes de seguimiento a las acciones de vigilancia fitosanitaria programados) *100</t>
  </si>
  <si>
    <t>C 8 A1.2 Implementación de acciones de prevención, vigilancia y control fitosanitario.</t>
  </si>
  <si>
    <r>
      <t>A1.2 Porcentaje de implementación de acciones de prevención, vigilancia y control fitosanitario.</t>
    </r>
    <r>
      <rPr>
        <i/>
        <sz val="10"/>
        <color indexed="30"/>
        <rFont val="Soberana Sans"/>
      </rPr>
      <t xml:space="preserve">
</t>
    </r>
  </si>
  <si>
    <t>(Número de acciones de prevención, vigilancia y control fitosanitario implementadas / Número de acciones de prevención, vigilancia y control fitosanitario necesarias)*100</t>
  </si>
  <si>
    <t>D 9 A1.4 Capacitación impartida a productores apícolas y técnicos</t>
  </si>
  <si>
    <r>
      <t>A1.4 Porcentaje de asistentes que aprobaron la evaluación de la capacitación con 7 o más de calificación respecto al total de asistentes evaluados</t>
    </r>
    <r>
      <rPr>
        <i/>
        <sz val="10"/>
        <color indexed="30"/>
        <rFont val="Soberana Sans"/>
      </rPr>
      <t xml:space="preserve">
</t>
    </r>
  </si>
  <si>
    <t>(Número de asistentes que aprobaron la capacitación con 7 o más de calificación en el año t / Número de asistentes evaluados en las capacitaciones en el año t) *100</t>
  </si>
  <si>
    <t>Gestión-Economía-Semestral</t>
  </si>
  <si>
    <t>D 10 A2.4 Certificados de Calidad Genética entregados a productores de material biológico apícola</t>
  </si>
  <si>
    <r>
      <t>A2.4 Porcentaje de certificados entregados con relación a los certificados programados</t>
    </r>
    <r>
      <rPr>
        <i/>
        <sz val="10"/>
        <color indexed="30"/>
        <rFont val="Soberana Sans"/>
      </rPr>
      <t xml:space="preserve">
</t>
    </r>
  </si>
  <si>
    <t xml:space="preserve">(Número de certificados entregados en el año t / Número de certificados programados para el año t) *100  </t>
  </si>
  <si>
    <r>
      <t xml:space="preserve">F2. Índice de la actividad agroalimentaria.
</t>
    </r>
    <r>
      <rPr>
        <sz val="10"/>
        <rFont val="Soberana Sans"/>
        <family val="2"/>
      </rPr>
      <t>Sin Información,Sin Justificación</t>
    </r>
  </si>
  <si>
    <r>
      <t xml:space="preserve">P.3 Porcentaje de unidades de producción del sector agrícola, pecuario, acuícola y pesquero con Sistemas de Reducción de Riesgos de Contaminación implementado
</t>
    </r>
    <r>
      <rPr>
        <sz val="10"/>
        <rFont val="Soberana Sans"/>
        <family val="2"/>
      </rPr>
      <t>Sin Información,Sin Justificación</t>
    </r>
  </si>
  <si>
    <r>
      <t xml:space="preserve">P2. Porcentaje de plagas y enfermedades exóticas de los animales, consideradas de alto impacto, establecidas en el territorio nacional 
</t>
    </r>
    <r>
      <rPr>
        <sz val="10"/>
        <rFont val="Soberana Sans"/>
        <family val="2"/>
      </rPr>
      <t>Sin Información,Sin Justificación</t>
    </r>
  </si>
  <si>
    <r>
      <t xml:space="preserve">P1.Porcentaje de entradas de moscas del Mediterráneo atendidas
</t>
    </r>
    <r>
      <rPr>
        <sz val="10"/>
        <rFont val="Soberana Sans"/>
        <family val="2"/>
      </rPr>
      <t>Sin Información,Sin Justificación</t>
    </r>
  </si>
  <si>
    <r>
      <t xml:space="preserve">C2. Índice de implementación del sistema de prevención, vigilancia y control zoosanitario
</t>
    </r>
    <r>
      <rPr>
        <sz val="10"/>
        <rFont val="Soberana Sans"/>
        <family val="2"/>
      </rPr>
      <t xml:space="preserve"> Causa : Se supera la meta debido un incremento en las actividades de prevención zoosanitaria realizadas Efecto: El efecto es positivo pues se fortalece la promoción de actividades de prevención zoosanitaria  Otros Motivos:</t>
    </r>
  </si>
  <si>
    <r>
      <t xml:space="preserve">C3. Índice de actividades complementarias para la implementación de Sistemas de Reducción de Riesgos de Contaminación y Buenas Prácticas
</t>
    </r>
    <r>
      <rPr>
        <sz val="10"/>
        <rFont val="Soberana Sans"/>
        <family val="2"/>
      </rPr>
      <t xml:space="preserve"> Causa : El comportamiento de la meta está de acuerdo a lo programado Efecto: El comportamiento de la meta está de acuerdo a lo programado Otros Motivos:</t>
    </r>
  </si>
  <si>
    <r>
      <t xml:space="preserve">C.1 Índice de implementación del sistema de prevención, vigilancia y control fitosanitario
</t>
    </r>
    <r>
      <rPr>
        <sz val="10"/>
        <rFont val="Soberana Sans"/>
        <family val="2"/>
      </rPr>
      <t xml:space="preserve"> Causa : La meta está ligeramente por arriba de lo pogramaado debido a la implementación de una acción fitosanitaria más para el control de la entrada transitoria de Mosca del Mediterráneo a Chiapas. Efecto: El efecto es positvo toda vez que se evita la dispersión de la mosca del Mediterráneo al interior del territorio nacional. Otros Motivos:</t>
    </r>
  </si>
  <si>
    <r>
      <t xml:space="preserve">C4. Porcentaje de productores y técnicos apícolas que mejoraron capacidades para el control de la africanización respecto al total de productores y técnicos apícolas    
</t>
    </r>
    <r>
      <rPr>
        <sz val="10"/>
        <rFont val="Soberana Sans"/>
        <family val="2"/>
      </rPr>
      <t>Sin Información,Sin Justificación</t>
    </r>
  </si>
  <si>
    <r>
      <t xml:space="preserve">A2.2.4 Porcentaje de medidas zoosanitarias aplicadas para el control de enfermedades endémicas
</t>
    </r>
    <r>
      <rPr>
        <sz val="10"/>
        <rFont val="Soberana Sans"/>
        <family val="2"/>
      </rPr>
      <t xml:space="preserve"> Causa : El comportamiento de la meta esta de acuerdo a lo programado Efecto: El comportamiento de la meta esta de acuerdo a lo programado Otros Motivos:</t>
    </r>
  </si>
  <si>
    <r>
      <t xml:space="preserve">A2.2.2 Porcentaje de actividades de prevención zoosanitaria aplicadas.
</t>
    </r>
    <r>
      <rPr>
        <sz val="10"/>
        <rFont val="Soberana Sans"/>
        <family val="2"/>
      </rPr>
      <t xml:space="preserve"> Causa : La meta está por debajo de lo progamado debido a que al corte de este resporte falta reportar el mes de septiembre, el cual será integrado en el siguiente trimestre. Efecto: El efecto es positivo dado que no se continúa con la promoción a la notificación Otros Motivos:</t>
    </r>
  </si>
  <si>
    <r>
      <t xml:space="preserve">A2.2.1 Porcentaje de técnicas diagnósticas de plagas y enfermedades de los animales, derivadas de la notificación realizadas oportunamente
</t>
    </r>
    <r>
      <rPr>
        <sz val="10"/>
        <rFont val="Soberana Sans"/>
        <family val="2"/>
      </rPr>
      <t xml:space="preserve"> Causa : Se cumple con la meta, el número de muestras derivadas de la notificación no se puede programar, esto debido a que las mismas serán colectadas a consecuencia de las notificaciones atendidas y éstas dependen de la presencia de  enfermedades o plagas emergentes que afecten a los animales. Efecto: El efecto es positivo, ya que la vigilancia pasiva indica que las poblaciones animales no están siendo afectadas por enfermedades  o plagas emergentes. Otros Motivos:</t>
    </r>
  </si>
  <si>
    <r>
      <t xml:space="preserve">A2.2.3 Porcentaje de focos de plagas y enfermedades exóticas de los animales atendidos con medidas contra-epidémicas.
</t>
    </r>
    <r>
      <rPr>
        <sz val="10"/>
        <rFont val="Soberana Sans"/>
        <family val="2"/>
      </rPr>
      <t xml:space="preserve"> Causa : El comportamiento de la meta está de acuerdo a lo programado. Los valores de numerador y denominador están por debajo de lo estimado debido a que la ocurrencia de importancia zoosanitaria fue menor a la esperada, sin embargo, se atendieron el 100% de los focos detectados. Efecto: El efecto es positivo porque al presentarse menos casos de los esperados, se demuestra un avance en la condición zoosanitaria del país. Otros Motivos:</t>
    </r>
  </si>
  <si>
    <r>
      <t xml:space="preserve">A2.1 Porcentaje de cargamentos pecuarios de importación y movilización nacional de alto riesgo sanitario detectados a los que se les aplican medidas cuarentenarias
</t>
    </r>
    <r>
      <rPr>
        <sz val="10"/>
        <rFont val="Soberana Sans"/>
        <family val="2"/>
      </rPr>
      <t xml:space="preserve"> Causa : La meta está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o destrucción). Para los cargamentos de movilización  se aplicó una medida zoosanitaria al 100% de cargamentos con irregularidades detectados  para evitar su ingreso a las zonas de mejores estatus sanitarios.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</si>
  <si>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A3.3 Porcentaje de unidades de producción del sector agrícola, pecuario, acuícola y pesquero apoyadas con complemento a la infraestructura 
</t>
    </r>
    <r>
      <rPr>
        <sz val="10"/>
        <rFont val="Soberana Sans"/>
        <family val="2"/>
      </rPr>
      <t xml:space="preserve"> Causa : La meta presenta incumplimiento debido a que no se destino recurso para Convenios que incluyan esta actividad. Efecto: El efecto es negativo toda vez que no se apoyarán a las unidades de producción con complemento a la infraestructura Otros Motivos:</t>
    </r>
  </si>
  <si>
    <r>
      <t xml:space="preserve">A3.1 Porcentaje de unidades de producción del sector agroalimentario, acuícola y pesquero atendidas con asistencia técnica para la prevención de presencia de contaminantes
</t>
    </r>
    <r>
      <rPr>
        <sz val="10"/>
        <rFont val="Soberana Sans"/>
        <family val="2"/>
      </rPr>
      <t xml:space="preserve"> Causa : a meta presenta incumplimiento debido a que no se destino recurso para Convenios que incluyan esta actividad. Efecto: El efecto es negativo toda vez que no se apoyarán a las unidades de producción con asistencia técnica. Otros Motivos:</t>
    </r>
  </si>
  <si>
    <r>
      <t xml:space="preserve">A3.2 Porcentaje de muestras tomadas en unidades de producción del sector agrícola, pecuario, acuícola y pesquero para el monitoreo de contaminantes
</t>
    </r>
    <r>
      <rPr>
        <sz val="10"/>
        <rFont val="Soberana Sans"/>
        <family val="2"/>
      </rPr>
      <t xml:space="preserve"> Causa : La meta presenta variación debido al corto tiempo de ejecución del Convenio, a la falta de confianza por parte del sector en proporcionar informacion y los fenomenos climatologicos, y a la variación de estacionalidad de cultivos. Asimismo, se modifica el denominador toda vez que sólo fue autorizado un Convenio para la realización del monitoreo, por lo que la meta se ajusta para el cierre del ejercicio. Efecto: El efecto es negativo toda vez que no tener la totalidad del muestreo en el país estará limitando el no tener el mapeo nacional que nos permite la toma de decisiones sobre la importancia de los cultivos a priorizar o sectores a atender. Otros Motivos:</t>
    </r>
  </si>
  <si>
    <r>
      <t xml:space="preserve">A1.1 Porcentaje de cargamentos agrícolas de importación y movilización nacional de alto riesgo sanitario detectados a los que se les aplican medidas cuarentenarias.
</t>
    </r>
    <r>
      <rPr>
        <sz val="10"/>
        <rFont val="Soberana Sans"/>
        <family val="2"/>
      </rPr>
      <t xml:space="preserve"> Causa : La meta está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o destrucción). Para los cargamentos de movilización  se aplicó una medida fitosanitaria al 100% de cargamentos con irregularidades detectados  para evitar su ingreso a las zonas de mejores estatus sanitarios.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</si>
  <si>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A1.3 Porcentaje de informes de seguimiento a las acciones de vigilancia fitosanitaria..
</t>
    </r>
    <r>
      <rPr>
        <sz val="10"/>
        <rFont val="Soberana Sans"/>
        <family val="2"/>
      </rPr>
      <t xml:space="preserve"> Causa : El comportamiento de la meta está de acuerdo a lo programado Efecto: El comportamiento de la meta está de acuerdo a lo programado Otros Motivos:</t>
    </r>
  </si>
  <si>
    <r>
      <t xml:space="preserve">A1.2 Porcentaje de implementación de acciones de prevención, vigilancia y control fitosanitario.
</t>
    </r>
    <r>
      <rPr>
        <sz val="10"/>
        <rFont val="Soberana Sans"/>
        <family val="2"/>
      </rPr>
      <t xml:space="preserve"> Causa : El comportamiento de la meta está de acuerdo a lo programado Efecto: El comportamiento de la meta está de acuerdo a lo programado Otros Motivos:</t>
    </r>
  </si>
  <si>
    <r>
      <t xml:space="preserve">A1.4 Porcentaje de asistentes que aprobaron la evaluación de la capacitación con 7 o más de calificación respecto al total de asistentes evaluados
</t>
    </r>
    <r>
      <rPr>
        <sz val="10"/>
        <rFont val="Soberana Sans"/>
        <family val="2"/>
      </rPr>
      <t xml:space="preserve"> Causa : No se alcanzó la meta del indicador debido a que algunos cursos abordaron temas nuevos, a los cuales  los productores no están familiarizados. De igual forma, algunos de los capacitados  presentan niveles de escolaridad bajo o recién inician en la actividad apícola. Cabe mencionar que los valores de las variables corresponden a la proporción estimada por alcanzar, es por ello que el reporte es sobre los valores reales para cada variable Efecto: Se espera que no exista un efecto negativo ya que se brindan herramientas teórico-prácticas para mitigar los efectos negativos de la nueva problemática que se  presenta en el sector apícola como el cambio climático y enfermedades virales,  además se mantiene un acompañamiento técnico con el capacitado para fortalecer las áreas de oportunidad. Otros Motivos:</t>
    </r>
  </si>
  <si>
    <r>
      <t xml:space="preserve">A2.4 Porcentaje de certificados entregados con relación a los certificados programados
</t>
    </r>
    <r>
      <rPr>
        <sz val="10"/>
        <rFont val="Soberana Sans"/>
        <family val="2"/>
      </rPr>
      <t xml:space="preserve"> Causa : La meta del indicado fue superada debido a que los criadores que no cumplieron con los lineamientos en el 2017, recibieron asesoría técnica y realizaron acciones de mejora en sus apiarios y solicitaron nuevamente su certificación obteniendo los resultados deseados.  Efecto: Se espera un efecto positivo ya que se contará con material biológico de características deseables de producción y defensividad, el cual estará disponible para que los productores realicen su cambio de abejas reinas. Otros Motivos:</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</si>
  <si>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</si>
  <si>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</si>
  <si>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</si>
  <si>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</si>
  <si>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i/>
        <sz val="10"/>
        <color indexed="30"/>
        <rFont val="Soberana Sans"/>
      </rPr>
      <t xml:space="preserve">
</t>
    </r>
  </si>
  <si>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</si>
  <si>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</si>
  <si>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</si>
  <si>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 xml:space="preserve">(Número de tecnologías y/o conocimientos generados en proyectos que concluyen en el año t/Número de tecnologías y/o conocimientos que fueron establecidos en los Convenios de Asignación de Recurso en el año t) *100    </t>
  </si>
  <si>
    <t>A C2. Apoyos otorgados para el desarrollo de proyectos de investigación que atienden temas estratégicos.</t>
  </si>
  <si>
    <r>
      <t>C2. Porcentaje de proyectos de investigación formalizados mediante Convenio de Asignación de Recursos.</t>
    </r>
    <r>
      <rPr>
        <i/>
        <sz val="10"/>
        <color indexed="30"/>
        <rFont val="Soberana Sans"/>
      </rPr>
      <t xml:space="preserve">
</t>
    </r>
  </si>
  <si>
    <t xml:space="preserve">(Número de Proyectos de investigación formalizados mediante Convenio en el año t/Número de proyectos de investigación aprobados por el Comité Técnico y de Administración para su financiamiento en el año t) *100    </t>
  </si>
  <si>
    <t>B C1. Eventos organizados para la difusión de tecnologías y/o conocimientos.</t>
  </si>
  <si>
    <r>
      <t>C1. 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</si>
  <si>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</si>
  <si>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A3. Recepción de informes financieros de proyectos de investigación</t>
  </si>
  <si>
    <r>
      <t>A3. 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</si>
  <si>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</si>
  <si>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A2. Priorización de demandas en temas estratégicos.</t>
  </si>
  <si>
    <r>
      <t>A2. 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</si>
  <si>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</si>
  <si>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A1. Publicación de convocatorias para la atención de temas estratégicos.</t>
  </si>
  <si>
    <r>
      <t xml:space="preserve">A1. Porcentaje de temas estratégicos con Convocatoria publicada </t>
    </r>
    <r>
      <rPr>
        <i/>
        <sz val="10"/>
        <color indexed="30"/>
        <rFont val="Soberana Sans"/>
      </rPr>
      <t xml:space="preserve">
</t>
    </r>
  </si>
  <si>
    <t xml:space="preserve">(Número de temas estratégicos con Convocatoria publicada en el año t/Número de temas estratégicos que fueron identificados en el anexo de ejecución para ser atendidos en el año t) *100    </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</si>
  <si>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</si>
  <si>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</si>
  <si>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C2. Porcentaje de proyectos de investigación formalizados mediante Convenio de Asignación de Recursos.
</t>
    </r>
    <r>
      <rPr>
        <sz val="10"/>
        <rFont val="Soberana Sans"/>
        <family val="2"/>
      </rPr>
      <t>Sin Información,Sin Justificación</t>
    </r>
  </si>
  <si>
    <r>
      <t xml:space="preserve">C1. Porcentaje de eventos realizados para la difusión de tecnologías y/o conocimientos.
</t>
    </r>
    <r>
      <rPr>
        <sz val="10"/>
        <rFont val="Soberana Sans"/>
        <family val="2"/>
      </rPr>
      <t>Sin Información,Sin Justificación</t>
    </r>
  </si>
  <si>
    <r>
      <t xml:space="preserve">A3. Porcentaje de informes financieros parciales y finales, de proyectos de investigación vigentes financiados por el Fondo Sectorial SAGARPA-CONACYT, recibidos en el año que se evalúa.
</t>
    </r>
    <r>
      <rPr>
        <sz val="10"/>
        <rFont val="Soberana Sans"/>
        <family val="2"/>
      </rPr>
      <t xml:space="preserve"> Causa : Debido a solicitud de prórroga del Proyecto 266891 de anonáceas se recibió un informe menos de lo programado   Efecto: Debido a solicitud de prórroga del Proyecto 266891 de anonáceas se recibió un informe menos de lo programado, dicha solicitud se encuentra en proceso de revisión por parte de la CEVAL.   Otros Motivos:</t>
    </r>
  </si>
  <si>
    <r>
      <t xml:space="preserve">A2. Porcentaje de demandas estratégicas en materia de Investigación y Desarrollo Tecnológico que alcanzan consenso para ser atendidas.
</t>
    </r>
    <r>
      <rPr>
        <sz val="10"/>
        <rFont val="Soberana Sans"/>
        <family val="2"/>
      </rPr>
      <t xml:space="preserve"> Causa : La meta fue superada al primer semestre debido a la buena vinculación del SNITT con diferente instituciones y organizaciones de productores con quienes se determinan las temáticas y necesidades a resolver.    Efecto: Se logra una mejor atención al sector agroalimentario y a una gran variedad de temas que resolverán problemáticas en los cultivos o especies relacionadas, así como una mejora en la coordinación interinstitucional y multidisciplinaria.    Otros Motivos:</t>
    </r>
  </si>
  <si>
    <r>
      <t xml:space="preserve">A1. Porcentaje de temas estratégicos con Convocatoria publicada 
</t>
    </r>
    <r>
      <rPr>
        <sz val="10"/>
        <rFont val="Soberana Sans"/>
        <family val="2"/>
      </rPr>
      <t xml:space="preserve"> Causa : No se reportan avances derivados de que aún no se ha formalizado el Anexo de Ejecución para el ejercicio 2018, documento en el que se presentan los temas estratégicos que se contemplarán para ser apoyados durante el 2018.      Efecto: Se presenta un retraso en el proceso operativo durante el primer semestre del año, por lo que se trabajará en la agilización del mismo para lo subsecuente, y que no se ponga en riesgo el cumplimiento del propósito del programa.        Otros Motivos:</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</si>
  <si>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</si>
  <si>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</si>
  <si>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</si>
  <si>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</si>
  <si>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</si>
  <si>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</si>
  <si>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</si>
  <si>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</si>
  <si>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</si>
  <si>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</si>
  <si>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</si>
  <si>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</si>
  <si>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</si>
  <si>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</si>
  <si>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</si>
  <si>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</si>
  <si>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</si>
  <si>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positivas aplicadas a los beneficiarios del Programa de Fomento de la Ganadería y Normalización de la Calidad de los Productos Pecuarios.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</si>
  <si>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</si>
  <si>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</si>
  <si>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</si>
  <si>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Productores acuícolas y pesqueros aplican esquemas de organización, producción y comercialización, así como la implementación de modelos tecnológicos de producción acuícola innovadores.</t>
  </si>
  <si>
    <r>
      <t>P1. Tasa de variación del número de acciones de impulso a la comercialización desarrolladas por los socios de los Comités Sistema Producto.</t>
    </r>
    <r>
      <rPr>
        <i/>
        <sz val="10"/>
        <color indexed="30"/>
        <rFont val="Soberana Sans"/>
      </rPr>
      <t xml:space="preserve">
</t>
    </r>
  </si>
  <si>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</si>
  <si>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r>
      <t>P3. Porcentaje de modelos de desarrollo tecnológico transferibles al sector productivo.</t>
    </r>
    <r>
      <rPr>
        <i/>
        <sz val="10"/>
        <color indexed="30"/>
        <rFont val="Soberana Sans"/>
      </rPr>
      <t xml:space="preserve">
</t>
    </r>
  </si>
  <si>
    <t>(Número de modelos de desarrollo tecnológico transferibles/Número de modelos de desarrollo tecnológico apoyados)*100</t>
  </si>
  <si>
    <r>
      <t>P2. Tasa de variación del número de pescadores y acuacultores que aplican las buenas prácticas de manejo y manufactura de productos pesqueros y acuícolas.</t>
    </r>
    <r>
      <rPr>
        <i/>
        <sz val="10"/>
        <color indexed="30"/>
        <rFont val="Soberana Sans"/>
      </rPr>
      <t xml:space="preserve">
</t>
    </r>
  </si>
  <si>
    <t>((Número de pescadores y acuacultores apoyados que aplican las buenas prácticas en el año t/Número de pescadores y acuacultores apoyados que aplican las buenas practicas en el año t-1) -1)*100</t>
  </si>
  <si>
    <t>A C2. Apoyos a productores para el desarrollo de modelos tecnológicos viables generados</t>
  </si>
  <si>
    <r>
      <t>C2. Porcentaje de modelos de desarrollo tecnológico apoyados.</t>
    </r>
    <r>
      <rPr>
        <i/>
        <sz val="10"/>
        <color indexed="30"/>
        <rFont val="Soberana Sans"/>
      </rPr>
      <t xml:space="preserve">
</t>
    </r>
  </si>
  <si>
    <t>(Número de modelos de desarrollo tecnológico apoyados/Número de modelos de desarrollo tecnológico programados a apoyar )*100</t>
  </si>
  <si>
    <t>B C1. Apoyos de capacitación y servicios especializados otorgados</t>
  </si>
  <si>
    <r>
      <t>C1.1 Porcentaje de comités sistema producto apoyados.</t>
    </r>
    <r>
      <rPr>
        <i/>
        <sz val="10"/>
        <color indexed="30"/>
        <rFont val="Soberana Sans"/>
      </rPr>
      <t xml:space="preserve">
</t>
    </r>
  </si>
  <si>
    <t>(Número de comités sistema producto apoyados /Número de comités sistema producto constituidos)*100</t>
  </si>
  <si>
    <r>
      <t>C1.2 Porcentaje de apoyos otorgados para capacitación y asistencia técnica integral</t>
    </r>
    <r>
      <rPr>
        <i/>
        <sz val="10"/>
        <color indexed="30"/>
        <rFont val="Soberana Sans"/>
      </rPr>
      <t xml:space="preserve">
</t>
    </r>
  </si>
  <si>
    <t>(Número de apoyos otorgados para capacitación y asistencia técnica integral / Número de apoyos programados para capacitación y asistencia técnica integral)*100</t>
  </si>
  <si>
    <t>A 1 A2.C2 Celebración de convenios para el desarrollo de modelos tecnológicos</t>
  </si>
  <si>
    <r>
      <t>A2.C2 Porcentaje de convenios celebrados para la implementación de modelos de desarrollo tecnológico</t>
    </r>
    <r>
      <rPr>
        <i/>
        <sz val="10"/>
        <color indexed="30"/>
        <rFont val="Soberana Sans"/>
      </rPr>
      <t xml:space="preserve">
</t>
    </r>
  </si>
  <si>
    <t>(Número de convenios celebrados / Número de convenios programados)*100</t>
  </si>
  <si>
    <t>B 2 A1.C1.1 Dictaminación de programas de trabajo para el desarrollo de cadenas productivas</t>
  </si>
  <si>
    <r>
      <t>A1.C1.1 Porcentaje de programas de trabajo dictaminados para el desarrollo de cadenas productivas.</t>
    </r>
    <r>
      <rPr>
        <i/>
        <sz val="10"/>
        <color indexed="30"/>
        <rFont val="Soberana Sans"/>
      </rPr>
      <t xml:space="preserve">
</t>
    </r>
  </si>
  <si>
    <t xml:space="preserve">(Número de programas de trabajo dictaminados /Número de programas de trabajo recibidos )*100   </t>
  </si>
  <si>
    <t>B 3 A3.C1.2 Dictaminación de programas de trabajo para la capacitación y asistencia técnica integral</t>
  </si>
  <si>
    <r>
      <t>A3.C1.2 Porcentaje de programas de trabajo dictaminados para Capacitación y Asistencia Técnica Integral</t>
    </r>
    <r>
      <rPr>
        <i/>
        <sz val="10"/>
        <color indexed="30"/>
        <rFont val="Soberana Sans"/>
      </rPr>
      <t xml:space="preserve">
</t>
    </r>
  </si>
  <si>
    <t>(Número de programas de trabajo dictaminados /Número de programas de trabajo recibidos)*100</t>
  </si>
  <si>
    <r>
      <t xml:space="preserve">P1. Tasa de variación del número de acciones de impulso a la comercialización desarrolladas por los socios de los Comités Sistema Producto.
</t>
    </r>
    <r>
      <rPr>
        <sz val="10"/>
        <rFont val="Soberana Sans"/>
        <family val="2"/>
      </rPr>
      <t>Sin Información,Sin Justificación</t>
    </r>
  </si>
  <si>
    <r>
      <t xml:space="preserve">P3. Porcentaje de modelos de desarrollo tecnológico transferibles al sector productivo.
</t>
    </r>
    <r>
      <rPr>
        <sz val="10"/>
        <rFont val="Soberana Sans"/>
        <family val="2"/>
      </rPr>
      <t>Sin Información,Sin Justificación</t>
    </r>
  </si>
  <si>
    <r>
      <t xml:space="preserve">P2. Tasa de variación del número de pescadores y acuacultores que aplican las buenas prácticas de manejo y manufactura de productos pesqueros y acuícolas.
</t>
    </r>
    <r>
      <rPr>
        <sz val="10"/>
        <rFont val="Soberana Sans"/>
        <family val="2"/>
      </rPr>
      <t>Sin Información,Sin Justificación</t>
    </r>
  </si>
  <si>
    <r>
      <t xml:space="preserve">C2. Porcentaje de modelos de desarrollo tecnológico apoyados.
</t>
    </r>
    <r>
      <rPr>
        <sz val="10"/>
        <rFont val="Soberana Sans"/>
        <family val="2"/>
      </rPr>
      <t>Sin Información,Sin Justificación</t>
    </r>
  </si>
  <si>
    <r>
      <t xml:space="preserve">C1.1 Porcentaje de comités sistema producto apoyados.
</t>
    </r>
    <r>
      <rPr>
        <sz val="10"/>
        <rFont val="Soberana Sans"/>
        <family val="2"/>
      </rPr>
      <t>Sin Información,Sin Justificación</t>
    </r>
  </si>
  <si>
    <r>
      <t xml:space="preserve">C1.2 Porcentaje de apoyos otorgados para capacitación y asistencia técnica integral
</t>
    </r>
    <r>
      <rPr>
        <sz val="10"/>
        <rFont val="Soberana Sans"/>
        <family val="2"/>
      </rPr>
      <t>Sin Información,Sin Justificación</t>
    </r>
  </si>
  <si>
    <r>
      <t xml:space="preserve">A2.C2 Porcentaje de convenios celebrados para la implementación de modelos de desarrollo tecnológico
</t>
    </r>
    <r>
      <rPr>
        <sz val="10"/>
        <rFont val="Soberana Sans"/>
        <family val="2"/>
      </rPr>
      <t xml:space="preserve"> Causa : Cancelación de un convenio con el IPN, derivado de diferencias en los criterios jurídicos para la celebración del mismo. No obstante, se encuentran en proceso de validación jurídica 10 convenios para atender las demandas del sector social. Efecto: Retraso en la ejecución de los apoyos para el desarrollo tecnológico. Otros Motivos:</t>
    </r>
  </si>
  <si>
    <r>
      <t xml:space="preserve">A1.C1.1 Porcentaje de programas de trabajo dictaminados para el desarrollo de cadenas productivas.
</t>
    </r>
    <r>
      <rPr>
        <sz val="10"/>
        <rFont val="Soberana Sans"/>
        <family val="2"/>
      </rPr>
      <t xml:space="preserve"> Causa : Disminución en la presentación de programas de trabajo por parte del sector, para acceder al apoyo. Efecto: No obstante se recibió un menor número de programas, se han dictaminado de manera oportuna para otorgar los apoyos y atender las demandas del sector. Otros Motivos:</t>
    </r>
  </si>
  <si>
    <r>
      <t xml:space="preserve">A3.C1.2 Porcentaje de programas de trabajo dictaminados para Capacitación y Asistencia Técnica Integral
</t>
    </r>
    <r>
      <rPr>
        <sz val="10"/>
        <rFont val="Soberana Sans"/>
        <family val="2"/>
      </rPr>
      <t xml:space="preserve"> Causa : Disminución en la presentación de programas de trabajo por parte del sector, para acceder al apoyo. Efecto: Derivado de la disminución de los recursos presupuestales, se redujo la atención a las solicitudes, culminando con la dictaminación positiva de 11 para el apoyo de 6 programas de trabajo. Otros Motivos:</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</si>
  <si>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</si>
  <si>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</si>
  <si>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</si>
  <si>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</si>
  <si>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r>
      <t>F.2 Porcentaje de cumplimiento del Inventario Óptimo de azúcar</t>
    </r>
    <r>
      <rPr>
        <i/>
        <sz val="10"/>
        <color indexed="30"/>
        <rFont val="Soberana Sans"/>
      </rPr>
      <t xml:space="preserve">
</t>
    </r>
  </si>
  <si>
    <t>(inventario final observado en [t] / (2.5 Meses de consumo nacional aparente promedio [t] + 2.5 meses de ventas promedio a la Industria Manufacturera , Maquiladora y de Servicios de Exportación (IMMEX) en [t])-1)*100</t>
  </si>
  <si>
    <t>El cálculo se hace sumando la producción anual, en toneladas, de estos productos y dividiendo ésta entre la suma de la producción nacional y de las importaciones de estos productos (oferta total)</t>
  </si>
  <si>
    <r>
      <t xml:space="preserve">F3. Porcentaje de información de estadística básica, derivada y geoespacial generada y difundida conforme al calendario. </t>
    </r>
    <r>
      <rPr>
        <i/>
        <sz val="10"/>
        <color indexed="30"/>
        <rFont val="Soberana Sans"/>
      </rPr>
      <t xml:space="preserve">
</t>
    </r>
  </si>
  <si>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</si>
  <si>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</si>
  <si>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</si>
  <si>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en el año t) / (Número total de los usuarios de la información que emiten opinión en el año t) * 100</t>
  </si>
  <si>
    <t>Estratégico-Calidad-Anual</t>
  </si>
  <si>
    <r>
      <t>P.1 Porcentaje de precisión de la información estadística y geoespacial agroalimentaria y agroindustrial para la toma de decisiones</t>
    </r>
    <r>
      <rPr>
        <i/>
        <sz val="10"/>
        <color indexed="30"/>
        <rFont val="Soberana Sans"/>
      </rPr>
      <t xml:space="preserve">
</t>
    </r>
  </si>
  <si>
    <t xml:space="preserve">[((SSO/SSE) + (VPAO+VPAE) + (VPPO+VPPE) + (FAO/FAE) + (REDPO/RTDE) + (RDPO/RTD ))*100 ]/n   </t>
  </si>
  <si>
    <r>
      <t>P.2.1 Porcentaje de integrantes de la Junta Directiva que usan la información del Sistema Integral para el Desarrollo Sustentable de la Caña de Azúcar</t>
    </r>
    <r>
      <rPr>
        <i/>
        <sz val="10"/>
        <color indexed="30"/>
        <rFont val="Soberana Sans"/>
      </rPr>
      <t xml:space="preserve">
</t>
    </r>
  </si>
  <si>
    <t xml:space="preserve">(Número de integrantes de la Junta Directiva que usan la información del SIDESCA en el año t / Número de integrantes de la Junta Directiva en el año t)*100 </t>
  </si>
  <si>
    <t>A C2. Información geoespacial agroalimentaria realizada</t>
  </si>
  <si>
    <r>
      <t>C2 Porcentaje de productos geoespaciales agroalimentarios realizados</t>
    </r>
    <r>
      <rPr>
        <i/>
        <sz val="10"/>
        <color indexed="30"/>
        <rFont val="Soberana Sans"/>
      </rPr>
      <t xml:space="preserve">
</t>
    </r>
  </si>
  <si>
    <t>(Número de  productos geoespaciales agroalimentarios culminados en el periodo t/ Número de productos geoespaciales agroalimentarios programados en el periodo t)*100</t>
  </si>
  <si>
    <t>B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</si>
  <si>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</si>
  <si>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</si>
  <si>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C C4. Publicaciones de información estadística y geográfica del sector agroalimentario y agroindustrial difundidas</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</si>
  <si>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</si>
  <si>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</si>
  <si>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r>
      <t>C4.2 Porcentaje de Publicaciones difundidas de la agroindustria azucarera</t>
    </r>
    <r>
      <rPr>
        <i/>
        <sz val="10"/>
        <color indexed="30"/>
        <rFont val="Soberana Sans"/>
      </rPr>
      <t xml:space="preserve">
</t>
    </r>
  </si>
  <si>
    <t>(número de publicaciones difundidas de la agroindustria azucarera del semestre del año t) / (número de publicaciones programadas en el año t) * 100</t>
  </si>
  <si>
    <t>D C5. Sistema Integral de la agroindustria de la caña de azúcar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</si>
  <si>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</si>
  <si>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</si>
  <si>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E C1. Base de datos disponible con información agropecuaria y agroindustrial a nivel nacional</t>
  </si>
  <si>
    <r>
      <t>C1. Porcentaje de bases de datos de las estadísticas agropecuarias publicadas</t>
    </r>
    <r>
      <rPr>
        <i/>
        <sz val="10"/>
        <color indexed="30"/>
        <rFont val="Soberana Sans"/>
      </rPr>
      <t xml:space="preserve">
</t>
    </r>
  </si>
  <si>
    <t>(BDPt /BDPGt) *100,  En dónde: BDPt = Base de Datos Publicadas en el año de estudio y BDPGt =  Base de Datos Programadas en el año de estudio.</t>
  </si>
  <si>
    <t>F C8. Solicitudes de información estadística agroalimentaria y agroindustrial atendidas en los plazos establecidos</t>
  </si>
  <si>
    <r>
      <t>C8. Porcentaje de solicitudes atendidas en los plazos establecidos respecto de las recibidas</t>
    </r>
    <r>
      <rPr>
        <i/>
        <sz val="10"/>
        <color indexed="30"/>
        <rFont val="Soberana Sans"/>
      </rPr>
      <t xml:space="preserve">
</t>
    </r>
  </si>
  <si>
    <t>(Solicitudes atendidas dentro del plazo establecido /Solicitudes recibidas)*100, donde el plazo establecido es de 10 días hábiles.</t>
  </si>
  <si>
    <t>G C6. Reportes para cálculo de indicadores económicos</t>
  </si>
  <si>
    <r>
      <t>C6. Porcentaje de reportes elaborados para cálculo de indicadores económicos publicados</t>
    </r>
    <r>
      <rPr>
        <i/>
        <sz val="10"/>
        <color indexed="30"/>
        <rFont val="Soberana Sans"/>
      </rPr>
      <t xml:space="preserve">
</t>
    </r>
  </si>
  <si>
    <t>(Número de reportes elaborados en el periodo t/ número de reportes programados en el periodo t)*100</t>
  </si>
  <si>
    <t>H C7. Información agroalimentaria, agroindustrial y geográfica difundida por medio de plataformas digitales difundida</t>
  </si>
  <si>
    <r>
      <t>C7.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</si>
  <si>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</si>
  <si>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A 1 A2.C2  Integración de imágenes satelitales</t>
  </si>
  <si>
    <r>
      <t>A2.C2 Porcentaje de superficie integrada en imágenes satelitales</t>
    </r>
    <r>
      <rPr>
        <i/>
        <sz val="10"/>
        <color indexed="30"/>
        <rFont val="Soberana Sans"/>
      </rPr>
      <t xml:space="preserve">
</t>
    </r>
  </si>
  <si>
    <t>(Sumatoria de la superficie de las imágenes satelitales integradas en el periodo t/Superficie del territorio nacional)*100</t>
  </si>
  <si>
    <t>A 2 A1.C2 Elaboración de reportes</t>
  </si>
  <si>
    <r>
      <t>A1.C2 Porcentaje de reportes elaborados</t>
    </r>
    <r>
      <rPr>
        <i/>
        <sz val="10"/>
        <color indexed="30"/>
        <rFont val="Soberana Sans"/>
      </rPr>
      <t xml:space="preserve">
</t>
    </r>
  </si>
  <si>
    <t>(Número de reportes elaborados en el periodo t/ Número de reportes programados en el periodo t)*100</t>
  </si>
  <si>
    <t>B 3 A2.C3 Actualización de Reportes</t>
  </si>
  <si>
    <r>
      <t xml:space="preserve">A2.C3 Porcentaje de reportes actualizados en el portal </t>
    </r>
    <r>
      <rPr>
        <i/>
        <sz val="10"/>
        <color indexed="30"/>
        <rFont val="Soberana Sans"/>
      </rPr>
      <t xml:space="preserve">
</t>
    </r>
  </si>
  <si>
    <t>(Número de reportes actualizados en el portal en el periodo t/Número total de reportes programados en el periodo t)*100</t>
  </si>
  <si>
    <t>B 4 A1.C3 Elaboración de reportes de avance de variables de estadística básica agropecuaria de comercio exterior</t>
  </si>
  <si>
    <r>
      <t>A1.C3 Porcentaje de reportes elaborados</t>
    </r>
    <r>
      <rPr>
        <i/>
        <sz val="10"/>
        <color indexed="30"/>
        <rFont val="Soberana Sans"/>
      </rPr>
      <t xml:space="preserve">
</t>
    </r>
  </si>
  <si>
    <t>(Número de reportes elaborados en el periodo t/número de reportes programados en el periodo t)*100</t>
  </si>
  <si>
    <t>C 5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</si>
  <si>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</si>
  <si>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</si>
  <si>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C 6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</si>
  <si>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</si>
  <si>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</si>
  <si>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D 7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</si>
  <si>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</si>
  <si>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acumulados al trimestre del año t) / (Número de reportes totales requeridos en el año t) * 100</t>
  </si>
  <si>
    <t>D 8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</si>
  <si>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</si>
  <si>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</si>
  <si>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E 9 A2.C1 Generación de reportes validados con información agropecuaria</t>
  </si>
  <si>
    <r>
      <t>A2.C1 Porcentaje de reportes validados con información agropecuaria</t>
    </r>
    <r>
      <rPr>
        <i/>
        <sz val="10"/>
        <color indexed="30"/>
        <rFont val="Soberana Sans"/>
      </rPr>
      <t xml:space="preserve">
</t>
    </r>
  </si>
  <si>
    <t>(RVt / RPt)* 100, donde RVt = Reportes estadísticos agropecuarios validados en el periodo de estudio y RPt = Reportes estadísticos agropecuarios programados en el periodo de estudio.</t>
  </si>
  <si>
    <t>E 10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</si>
  <si>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</si>
  <si>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</si>
  <si>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F 11 A1.C8 Atención de solicitudes de información agroalimentaria, agroindustrial y geográfica recibidas</t>
  </si>
  <si>
    <r>
      <t xml:space="preserve">A1.C8 Porcentaje de solicitudes de información atendidas respecto de las recibidas </t>
    </r>
    <r>
      <rPr>
        <i/>
        <sz val="10"/>
        <color indexed="30"/>
        <rFont val="Soberana Sans"/>
      </rPr>
      <t xml:space="preserve">
</t>
    </r>
  </si>
  <si>
    <t>(Número de solicitudes atendidas en el periodo t/número de solicitudes recibidas en el periodo t)*100</t>
  </si>
  <si>
    <t>G 12 A1.C6 Elaboración de reportes para el cálculo de indicadores económicos</t>
  </si>
  <si>
    <r>
      <t>A1.C6 Porcentaje de reportes elaborados para cálculo de indicadores económicos elaborados</t>
    </r>
    <r>
      <rPr>
        <i/>
        <sz val="10"/>
        <color indexed="30"/>
        <rFont val="Soberana Sans"/>
      </rPr>
      <t xml:space="preserve">
</t>
    </r>
  </si>
  <si>
    <t>H 13 A1.C7 Difusión de publicaciones del sector agroalimentario y agroindustrial por medio de plataformas digitales</t>
  </si>
  <si>
    <r>
      <t>A1.C7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</si>
  <si>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</si>
  <si>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r>
      <t xml:space="preserve">F.2 Porcentaje de cumplimiento del Inventario Óptimo de azúcar
</t>
    </r>
    <r>
      <rPr>
        <sz val="10"/>
        <rFont val="Soberana Sans"/>
        <family val="2"/>
      </rPr>
      <t>Sin Información,Sin Justificación</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</si>
  <si>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</si>
  <si>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F3. Porcentaje de información de estadística básica, derivada y geoespacial generada y difundida conforme al calendario.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</si>
  <si>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Sin Información,Sin Justificación</t>
    </r>
  </si>
  <si>
    <r>
      <t xml:space="preserve">P.1 Porcentaje de precisión de la información estadística y geoespacial agroalimentaria y agroindustrial para la toma de decisiones
</t>
    </r>
    <r>
      <rPr>
        <sz val="10"/>
        <rFont val="Soberana Sans"/>
        <family val="2"/>
      </rPr>
      <t>Sin Información,Sin Justificación</t>
    </r>
  </si>
  <si>
    <r>
      <t xml:space="preserve">P.2.1 Porcentaje de integrantes de la Junta Directiva que usan la información del Sistema Integral para el Desarrollo Sustentable de la Caña de Azúcar
</t>
    </r>
    <r>
      <rPr>
        <sz val="10"/>
        <rFont val="Soberana Sans"/>
        <family val="2"/>
      </rPr>
      <t>Sin Información,Sin Justificación</t>
    </r>
  </si>
  <si>
    <r>
      <t xml:space="preserve">C2 Porcentaje de productos geoespaciales agroalimentarios realizados
</t>
    </r>
    <r>
      <rPr>
        <sz val="10"/>
        <rFont val="Soberana Sans"/>
        <family val="2"/>
      </rPr>
      <t xml:space="preserve"> Causa : El comportamiento de la meta está de acuerdo a lo programado Efecto: El comportamiento de la meta está de acuerdo a lo programado Otros Motivos:</t>
    </r>
  </si>
  <si>
    <r>
      <t xml:space="preserve">C3. Porcentaje de balanzas de disponibilidad-consumo elaboradas
</t>
    </r>
    <r>
      <rPr>
        <sz val="10"/>
        <rFont val="Soberana Sans"/>
        <family val="2"/>
      </rPr>
      <t xml:space="preserve"> Causa : El comportamiento de la meta está de acuerdo a lo programado Efecto: El comportamiento de la meta está de acuerdo a lo programado Otros Motivos:</t>
    </r>
  </si>
  <si>
    <r>
      <t xml:space="preserve">C4. Porcentaje de cumplimiento de publicaciones difundidas 
</t>
    </r>
    <r>
      <rPr>
        <sz val="10"/>
        <rFont val="Soberana Sans"/>
        <family val="2"/>
      </rPr>
      <t xml:space="preserve"> Causa : El comportamiento de la meta está de acuerdo a lo programado Efecto: El comportamiento de la meta está de acuerdo a lo programado Otros Motivos:</t>
    </r>
  </si>
  <si>
    <r>
      <t xml:space="preserve">C4.2 Porcentaje de Publicaciones difundidas de la agroindustria azucarera
</t>
    </r>
    <r>
      <rPr>
        <sz val="10"/>
        <rFont val="Soberana Sans"/>
        <family val="2"/>
      </rPr>
      <t xml:space="preserve"> Causa : El comportamiento de la meta está de acuerdo a lo programado.   Efecto: El comportamiento de la meta está de acuerdo a lo programado.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</si>
  <si>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La diferencia de 14.66 puntos porcentuales de más a la meta estimada, se debe a que se registró un mayor número de visitas a la página web, lo cual refleja la utilidad que tiene los contenidos de la Página.   Efecto: No se esperan efectos adversos en ninguna de las metas de los indicadores ya que a mayor incremento de las visitas refleja mayor uso de la misma.   Otros Motivos:</t>
    </r>
  </si>
  <si>
    <r>
      <t xml:space="preserve">C1. Porcentaje de bases de datos de las estadísticas agropecuarias publicadas
</t>
    </r>
    <r>
      <rPr>
        <sz val="10"/>
        <rFont val="Soberana Sans"/>
        <family val="2"/>
      </rPr>
      <t xml:space="preserve"> Causa : El comportamiento de la meta está de acuerdo a lo programado Efecto: El comportamiento de la meta está de acuerdo a lo programado Otros Motivos:</t>
    </r>
  </si>
  <si>
    <r>
      <t xml:space="preserve">C8. Porcentaje de solicitudes atendidas en los plazos establecidos respecto de las recibidas
</t>
    </r>
    <r>
      <rPr>
        <sz val="10"/>
        <rFont val="Soberana Sans"/>
        <family val="2"/>
      </rPr>
      <t xml:space="preserve"> Causa : Se atendieron más consultas de las programadas durante el periodo julio-septiembre debido a un incremento en las solicitudes; sin embargo, se pronostica que la meta se cumplirá de acuerdo con lo programado al concluir el año.  Efecto: Dado que la meta es parcial, se considera que en los próximos meses el total de consultas recibidas y atendidas se ajustará a la meta anual programada. Otros Motivos:</t>
    </r>
  </si>
  <si>
    <r>
      <t xml:space="preserve">C6. Porcentaje de reportes elaborados para cálculo de indicadores económicos publicados
</t>
    </r>
    <r>
      <rPr>
        <sz val="10"/>
        <rFont val="Soberana Sans"/>
        <family val="2"/>
      </rPr>
      <t xml:space="preserve"> Causa : El comportamiento de la meta está de acuerdo a lo programado. Efecto: El comportamiento de la meta está de acuerdo a lo programado. Otros Motivos:</t>
    </r>
  </si>
  <si>
    <r>
      <t xml:space="preserve">C7. Porcentaje de publicaciones difundidas por medio de plataformas digitales
</t>
    </r>
    <r>
      <rPr>
        <sz val="10"/>
        <rFont val="Soberana Sans"/>
        <family val="2"/>
      </rPr>
      <t xml:space="preserve"> Causa : El comportamiento de la meta está de acuerdo a lo programado Efecto: El comportamiento de la meta está de acuerdo a lo programado Otros Motivos:</t>
    </r>
  </si>
  <si>
    <r>
      <t xml:space="preserve">A2.C2 Porcentaje de superficie integrada en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</si>
  <si>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A1.C2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</si>
  <si>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A2.C3 Porcentaje de reportes actualizados en el portal 
</t>
    </r>
    <r>
      <rPr>
        <sz val="10"/>
        <rFont val="Soberana Sans"/>
        <family val="2"/>
      </rPr>
      <t xml:space="preserve"> Causa : El comportamiento de la meta está de acuerdo a lo programado Efecto: El comportamiento de la meta está de acuerdo a lo programado Otros Motivos:</t>
    </r>
  </si>
  <si>
    <r>
      <t xml:space="preserve">A1.C3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</si>
  <si>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A1.C4 Porcentaje de elaboración de publicaciones impresas
</t>
    </r>
    <r>
      <rPr>
        <sz val="10"/>
        <rFont val="Soberana Sans"/>
        <family val="2"/>
      </rPr>
      <t xml:space="preserve"> Causa : Con la finalidad de cerrar en tiempo y forma la presente administración del Gobierno Federal, así como para la correcta distribución a los productores, comercializadores, investigadores, estudiantes, agentes económicos y tomadores de decisión que participan en el sector agroalimentario, el SIAP adelantó la impresión de una publicación programada para el mes de noviembre, con lo cual se cumple la meta anual. Efecto: Sin efectos, toda vez que se cumplió con la meta anual Otros Motivos:</t>
    </r>
  </si>
  <si>
    <r>
      <t xml:space="preserve">A2.C4 Porcentaje de publicaciones digitales elaboradas 
</t>
    </r>
    <r>
      <rPr>
        <sz val="10"/>
        <rFont val="Soberana Sans"/>
        <family val="2"/>
      </rPr>
      <t xml:space="preserve"> Causa : El comportamiento de la meta está de acuerdo a lo programado Efecto: El comportamiento de la meta está de acuerdo a lo programado Otros Motivos:</t>
    </r>
  </si>
  <si>
    <r>
      <t xml:space="preserve">A1.C5 Porcentaje de información económica-productiva integrada
</t>
    </r>
    <r>
      <rPr>
        <sz val="10"/>
        <rFont val="Soberana Sans"/>
        <family val="2"/>
      </rPr>
      <t xml:space="preserve"> Causa : El comportamiento de la meta está de acuerdo a lo programado. Efecto: El comportamiento de la meta está de acuerdo a lo programado. Otros Motivos:</t>
    </r>
  </si>
  <si>
    <r>
      <t xml:space="preserve">A2.C5 Porcentaje de base de datos actualizadas dentro del sistema Integral para el Desarrollo Sustentable de la Caña de Azúcar
</t>
    </r>
    <r>
      <rPr>
        <sz val="10"/>
        <rFont val="Soberana Sans"/>
        <family val="2"/>
      </rPr>
      <t xml:space="preserve"> Causa : El comportamiento de la meta está de acuerdo a lo programado. Efecto: El comportamiento de la meta está de acuerdo a lo programado. Otros Motivos:</t>
    </r>
  </si>
  <si>
    <r>
      <t xml:space="preserve">A2.C1 Porcentaje de reportes validados con información agropecuaria
</t>
    </r>
    <r>
      <rPr>
        <sz val="10"/>
        <rFont val="Soberana Sans"/>
        <family val="2"/>
      </rPr>
      <t xml:space="preserve"> Causa : El comportamiento de la meta está de acuerdo a lo programado Efecto: El comportamiento de la meta está de acuerdo a lo programado Otros Motivos:</t>
    </r>
  </si>
  <si>
    <r>
      <t xml:space="preserve">A1.C1 Porcentaje de padrones construidos y actualizados de interés nacional 
</t>
    </r>
    <r>
      <rPr>
        <sz val="10"/>
        <rFont val="Soberana Sans"/>
        <family val="2"/>
      </rPr>
      <t xml:space="preserve"> Causa : El comportamiento de la meta está de acuerdo a lo programado Efecto: El comportamiento de la meta está de acuerdo a lo programado Otros Motivos:</t>
    </r>
  </si>
  <si>
    <r>
      <t xml:space="preserve">A1.C8 Porcentaje de solicitudes de información atendidas respecto de las recibidas 
</t>
    </r>
    <r>
      <rPr>
        <sz val="10"/>
        <rFont val="Soberana Sans"/>
        <family val="2"/>
      </rPr>
      <t xml:space="preserve"> Causa : Se atendieron mas consultas de las programadas durante el periodo enero-septiembre, debido a un incremento en las solicitudes; sin embargo, se pronostica que la meta se cumplirá de acuerdo con lo programado al concluir el año Efecto: Dado que la meta es parcial, se considera que en los próximos meses el total de consultas recibidas y atendidas se ajustará a la meta anual programada. Otros Motivos:</t>
    </r>
  </si>
  <si>
    <r>
      <t xml:space="preserve">A1.C6 Porcentaje de reportes elaborados para cálculo de indicadores económicos elaborados
</t>
    </r>
    <r>
      <rPr>
        <sz val="10"/>
        <rFont val="Soberana Sans"/>
        <family val="2"/>
      </rPr>
      <t xml:space="preserve"> Causa : El comportamiento de la meta está de acuerdo a lo programado Efecto: El comportamiento de la meta está de acuerdo a lo programado Otros Motivos:</t>
    </r>
  </si>
  <si>
    <r>
      <t xml:space="preserve">A1.C7 Porcentaje de publicaciones difundidas en redes sociales
</t>
    </r>
    <r>
      <rPr>
        <sz val="10"/>
        <rFont val="Soberana Sans"/>
        <family val="2"/>
      </rPr>
      <t xml:space="preserve"> Causa : El comportamiento de la meta está de acuerdo a lo programado Efecto: El comportamiento de la meta está de acuerdo a lo programado Otros Motivos:</t>
    </r>
  </si>
  <si>
    <r>
      <t>Productividad laboral en el sector agropecuario y pesquero</t>
    </r>
    <r>
      <rPr>
        <i/>
        <sz val="10"/>
        <color indexed="30"/>
        <rFont val="Soberana Sans"/>
      </rPr>
      <t xml:space="preserve">
</t>
    </r>
  </si>
  <si>
    <r>
      <t>Tasa de crecimiento del PIB agropecuario y pesquero</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</si>
  <si>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</si>
  <si>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Porcentaje del territorio nacional conservado libre de la mosca de la fruta</t>
    </r>
    <r>
      <rPr>
        <i/>
        <sz val="10"/>
        <color indexed="30"/>
        <rFont val="Soberana Sans"/>
      </rPr>
      <t xml:space="preserve">
</t>
    </r>
  </si>
  <si>
    <r>
      <t>Participación de la producción nacional en la oferta total de los principales granos y oleaginosas (maíz, trigo, frijol, arroz, sorgo y soya)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</si>
</sst>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W11" sqref="W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1" customHeight="1" thickTop="1">
      <c r="A11" s="56"/>
      <c r="B11" s="57" t="s">
        <v>36</v>
      </c>
      <c r="C11" s="58" t="s">
        <v>37</v>
      </c>
      <c r="D11" s="58"/>
      <c r="E11" s="58"/>
      <c r="F11" s="58"/>
      <c r="G11" s="58"/>
      <c r="H11" s="58"/>
      <c r="I11" s="58" t="s">
        <v>38</v>
      </c>
      <c r="J11" s="58"/>
      <c r="K11" s="58"/>
      <c r="L11" s="58" t="s">
        <v>39</v>
      </c>
      <c r="M11" s="58"/>
      <c r="N11" s="58"/>
      <c r="O11" s="58"/>
      <c r="P11" s="59" t="s">
        <v>40</v>
      </c>
      <c r="Q11" s="59" t="s">
        <v>41</v>
      </c>
      <c r="R11" s="59">
        <v>100</v>
      </c>
      <c r="S11" s="59" t="s">
        <v>42</v>
      </c>
      <c r="T11" s="59" t="s">
        <v>42</v>
      </c>
      <c r="U11" s="60" t="str">
        <f>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40</v>
      </c>
      <c r="Q13" s="59" t="s">
        <v>50</v>
      </c>
      <c r="R13" s="59">
        <v>100</v>
      </c>
      <c r="S13" s="59" t="s">
        <v>42</v>
      </c>
      <c r="T13" s="59" t="s">
        <v>42</v>
      </c>
      <c r="U13" s="60"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40</v>
      </c>
      <c r="Q14" s="59" t="s">
        <v>55</v>
      </c>
      <c r="R14" s="59">
        <v>100</v>
      </c>
      <c r="S14" s="59">
        <v>76.67</v>
      </c>
      <c r="T14" s="59">
        <v>76.150000000000006</v>
      </c>
      <c r="U14" s="60">
        <f>IF(ISERR(T14/S14*100),"N/A",T14/S14*100)</f>
        <v>99.321768618755712</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40</v>
      </c>
      <c r="Q15" s="59" t="s">
        <v>60</v>
      </c>
      <c r="R15" s="59">
        <v>100</v>
      </c>
      <c r="S15" s="59">
        <v>75</v>
      </c>
      <c r="T15" s="59">
        <v>71.88</v>
      </c>
      <c r="U15" s="60">
        <f>IF(ISERR((S15-T15)*100/S15+100),"N/A",(S15-T15)*100/S15+100)</f>
        <v>104.16000000000001</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47.85" customHeight="1">
      <c r="B26" s="94" t="s">
        <v>75</v>
      </c>
      <c r="C26" s="96"/>
      <c r="D26" s="96"/>
      <c r="E26" s="96"/>
      <c r="F26" s="96"/>
      <c r="G26" s="96"/>
      <c r="H26" s="96"/>
      <c r="I26" s="96"/>
      <c r="J26" s="96"/>
      <c r="K26" s="96"/>
      <c r="L26" s="96"/>
      <c r="M26" s="96"/>
      <c r="N26" s="96"/>
      <c r="O26" s="96"/>
      <c r="P26" s="96"/>
      <c r="Q26" s="96"/>
      <c r="R26" s="96"/>
      <c r="S26" s="96"/>
      <c r="T26" s="96"/>
      <c r="U26" s="95"/>
    </row>
    <row r="27" spans="2:21" ht="44.25"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590</v>
      </c>
      <c r="D4" s="15" t="s">
        <v>591</v>
      </c>
      <c r="E4" s="15"/>
      <c r="F4" s="15"/>
      <c r="G4" s="15"/>
      <c r="H4" s="15"/>
      <c r="I4" s="16"/>
      <c r="J4" s="17" t="s">
        <v>6</v>
      </c>
      <c r="K4" s="18" t="s">
        <v>7</v>
      </c>
      <c r="L4" s="19" t="s">
        <v>8</v>
      </c>
      <c r="M4" s="19"/>
      <c r="N4" s="19"/>
      <c r="O4" s="19"/>
      <c r="P4" s="17" t="s">
        <v>9</v>
      </c>
      <c r="Q4" s="19" t="s">
        <v>592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593</v>
      </c>
      <c r="Q6" s="25"/>
      <c r="R6" s="29"/>
      <c r="S6" s="28" t="s">
        <v>20</v>
      </c>
      <c r="T6" s="25" t="s">
        <v>594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595</v>
      </c>
      <c r="D11" s="58"/>
      <c r="E11" s="58"/>
      <c r="F11" s="58"/>
      <c r="G11" s="58"/>
      <c r="H11" s="58"/>
      <c r="I11" s="58" t="s">
        <v>596</v>
      </c>
      <c r="J11" s="58"/>
      <c r="K11" s="58"/>
      <c r="L11" s="58" t="s">
        <v>597</v>
      </c>
      <c r="M11" s="58"/>
      <c r="N11" s="58"/>
      <c r="O11" s="58"/>
      <c r="P11" s="59" t="s">
        <v>372</v>
      </c>
      <c r="Q11" s="59" t="s">
        <v>41</v>
      </c>
      <c r="R11" s="59">
        <v>90.82</v>
      </c>
      <c r="S11" s="59" t="s">
        <v>42</v>
      </c>
      <c r="T11" s="59" t="s">
        <v>42</v>
      </c>
      <c r="U11" s="60" t="str">
        <f t="shared" ref="U11:U40" si="0">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 t="shared" si="0"/>
        <v>N/A</v>
      </c>
    </row>
    <row r="13" spans="1:34" ht="75" customHeight="1" thickTop="1" thickBot="1">
      <c r="A13" s="56"/>
      <c r="B13" s="57" t="s">
        <v>46</v>
      </c>
      <c r="C13" s="58" t="s">
        <v>598</v>
      </c>
      <c r="D13" s="58"/>
      <c r="E13" s="58"/>
      <c r="F13" s="58"/>
      <c r="G13" s="58"/>
      <c r="H13" s="58"/>
      <c r="I13" s="58" t="s">
        <v>599</v>
      </c>
      <c r="J13" s="58"/>
      <c r="K13" s="58"/>
      <c r="L13" s="58" t="s">
        <v>600</v>
      </c>
      <c r="M13" s="58"/>
      <c r="N13" s="58"/>
      <c r="O13" s="58"/>
      <c r="P13" s="59" t="s">
        <v>40</v>
      </c>
      <c r="Q13" s="59" t="s">
        <v>41</v>
      </c>
      <c r="R13" s="59">
        <v>15</v>
      </c>
      <c r="S13" s="59" t="s">
        <v>42</v>
      </c>
      <c r="T13" s="59" t="s">
        <v>42</v>
      </c>
      <c r="U13" s="60" t="str">
        <f t="shared" si="0"/>
        <v>N/A</v>
      </c>
    </row>
    <row r="14" spans="1:34" ht="75" customHeight="1" thickTop="1">
      <c r="A14" s="56"/>
      <c r="B14" s="57" t="s">
        <v>51</v>
      </c>
      <c r="C14" s="58" t="s">
        <v>601</v>
      </c>
      <c r="D14" s="58"/>
      <c r="E14" s="58"/>
      <c r="F14" s="58"/>
      <c r="G14" s="58"/>
      <c r="H14" s="58"/>
      <c r="I14" s="58" t="s">
        <v>602</v>
      </c>
      <c r="J14" s="58"/>
      <c r="K14" s="58"/>
      <c r="L14" s="58" t="s">
        <v>603</v>
      </c>
      <c r="M14" s="58"/>
      <c r="N14" s="58"/>
      <c r="O14" s="58"/>
      <c r="P14" s="59" t="s">
        <v>40</v>
      </c>
      <c r="Q14" s="59" t="s">
        <v>55</v>
      </c>
      <c r="R14" s="59">
        <v>21.95</v>
      </c>
      <c r="S14" s="59">
        <v>71.430000000000007</v>
      </c>
      <c r="T14" s="59">
        <v>17.86</v>
      </c>
      <c r="U14" s="60">
        <f t="shared" si="0"/>
        <v>25.0034999300014</v>
      </c>
    </row>
    <row r="15" spans="1:34" ht="75" customHeight="1">
      <c r="A15" s="56"/>
      <c r="B15" s="61" t="s">
        <v>43</v>
      </c>
      <c r="C15" s="62" t="s">
        <v>604</v>
      </c>
      <c r="D15" s="62"/>
      <c r="E15" s="62"/>
      <c r="F15" s="62"/>
      <c r="G15" s="62"/>
      <c r="H15" s="62"/>
      <c r="I15" s="62" t="s">
        <v>605</v>
      </c>
      <c r="J15" s="62"/>
      <c r="K15" s="62"/>
      <c r="L15" s="62" t="s">
        <v>606</v>
      </c>
      <c r="M15" s="62"/>
      <c r="N15" s="62"/>
      <c r="O15" s="62"/>
      <c r="P15" s="63" t="s">
        <v>40</v>
      </c>
      <c r="Q15" s="63" t="s">
        <v>41</v>
      </c>
      <c r="R15" s="63">
        <v>0</v>
      </c>
      <c r="S15" s="63" t="s">
        <v>42</v>
      </c>
      <c r="T15" s="63" t="s">
        <v>42</v>
      </c>
      <c r="U15" s="65" t="str">
        <f t="shared" si="0"/>
        <v>N/A</v>
      </c>
    </row>
    <row r="16" spans="1:34" ht="75" customHeight="1">
      <c r="A16" s="56"/>
      <c r="B16" s="61" t="s">
        <v>43</v>
      </c>
      <c r="C16" s="62" t="s">
        <v>43</v>
      </c>
      <c r="D16" s="62"/>
      <c r="E16" s="62"/>
      <c r="F16" s="62"/>
      <c r="G16" s="62"/>
      <c r="H16" s="62"/>
      <c r="I16" s="62" t="s">
        <v>607</v>
      </c>
      <c r="J16" s="62"/>
      <c r="K16" s="62"/>
      <c r="L16" s="62" t="s">
        <v>608</v>
      </c>
      <c r="M16" s="62"/>
      <c r="N16" s="62"/>
      <c r="O16" s="62"/>
      <c r="P16" s="63" t="s">
        <v>40</v>
      </c>
      <c r="Q16" s="63" t="s">
        <v>93</v>
      </c>
      <c r="R16" s="63">
        <v>30.74</v>
      </c>
      <c r="S16" s="63">
        <v>8</v>
      </c>
      <c r="T16" s="63">
        <v>9.02</v>
      </c>
      <c r="U16" s="65">
        <f t="shared" si="0"/>
        <v>112.75</v>
      </c>
    </row>
    <row r="17" spans="1:21" ht="75" customHeight="1">
      <c r="A17" s="56"/>
      <c r="B17" s="61" t="s">
        <v>43</v>
      </c>
      <c r="C17" s="62" t="s">
        <v>43</v>
      </c>
      <c r="D17" s="62"/>
      <c r="E17" s="62"/>
      <c r="F17" s="62"/>
      <c r="G17" s="62"/>
      <c r="H17" s="62"/>
      <c r="I17" s="62" t="s">
        <v>609</v>
      </c>
      <c r="J17" s="62"/>
      <c r="K17" s="62"/>
      <c r="L17" s="62" t="s">
        <v>610</v>
      </c>
      <c r="M17" s="62"/>
      <c r="N17" s="62"/>
      <c r="O17" s="62"/>
      <c r="P17" s="63" t="s">
        <v>40</v>
      </c>
      <c r="Q17" s="63" t="s">
        <v>41</v>
      </c>
      <c r="R17" s="63">
        <v>64.23</v>
      </c>
      <c r="S17" s="63" t="s">
        <v>42</v>
      </c>
      <c r="T17" s="63" t="s">
        <v>42</v>
      </c>
      <c r="U17" s="65" t="str">
        <f t="shared" si="0"/>
        <v>N/A</v>
      </c>
    </row>
    <row r="18" spans="1:21" ht="75" customHeight="1">
      <c r="A18" s="56"/>
      <c r="B18" s="61" t="s">
        <v>43</v>
      </c>
      <c r="C18" s="62" t="s">
        <v>43</v>
      </c>
      <c r="D18" s="62"/>
      <c r="E18" s="62"/>
      <c r="F18" s="62"/>
      <c r="G18" s="62"/>
      <c r="H18" s="62"/>
      <c r="I18" s="62" t="s">
        <v>611</v>
      </c>
      <c r="J18" s="62"/>
      <c r="K18" s="62"/>
      <c r="L18" s="62" t="s">
        <v>612</v>
      </c>
      <c r="M18" s="62"/>
      <c r="N18" s="62"/>
      <c r="O18" s="62"/>
      <c r="P18" s="63" t="s">
        <v>40</v>
      </c>
      <c r="Q18" s="63" t="s">
        <v>41</v>
      </c>
      <c r="R18" s="63">
        <v>100</v>
      </c>
      <c r="S18" s="63" t="s">
        <v>42</v>
      </c>
      <c r="T18" s="63" t="s">
        <v>42</v>
      </c>
      <c r="U18" s="65" t="str">
        <f t="shared" si="0"/>
        <v>N/A</v>
      </c>
    </row>
    <row r="19" spans="1:21" ht="75" customHeight="1">
      <c r="A19" s="56"/>
      <c r="B19" s="61" t="s">
        <v>43</v>
      </c>
      <c r="C19" s="62" t="s">
        <v>613</v>
      </c>
      <c r="D19" s="62"/>
      <c r="E19" s="62"/>
      <c r="F19" s="62"/>
      <c r="G19" s="62"/>
      <c r="H19" s="62"/>
      <c r="I19" s="62" t="s">
        <v>614</v>
      </c>
      <c r="J19" s="62"/>
      <c r="K19" s="62"/>
      <c r="L19" s="62" t="s">
        <v>615</v>
      </c>
      <c r="M19" s="62"/>
      <c r="N19" s="62"/>
      <c r="O19" s="62"/>
      <c r="P19" s="63" t="s">
        <v>40</v>
      </c>
      <c r="Q19" s="63" t="s">
        <v>55</v>
      </c>
      <c r="R19" s="63">
        <v>100</v>
      </c>
      <c r="S19" s="63">
        <v>100</v>
      </c>
      <c r="T19" s="63">
        <v>121.34</v>
      </c>
      <c r="U19" s="65">
        <f t="shared" si="0"/>
        <v>121.34</v>
      </c>
    </row>
    <row r="20" spans="1:21" ht="75" customHeight="1">
      <c r="A20" s="56"/>
      <c r="B20" s="61" t="s">
        <v>43</v>
      </c>
      <c r="C20" s="62" t="s">
        <v>616</v>
      </c>
      <c r="D20" s="62"/>
      <c r="E20" s="62"/>
      <c r="F20" s="62"/>
      <c r="G20" s="62"/>
      <c r="H20" s="62"/>
      <c r="I20" s="62" t="s">
        <v>617</v>
      </c>
      <c r="J20" s="62"/>
      <c r="K20" s="62"/>
      <c r="L20" s="62" t="s">
        <v>618</v>
      </c>
      <c r="M20" s="62"/>
      <c r="N20" s="62"/>
      <c r="O20" s="62"/>
      <c r="P20" s="63" t="s">
        <v>40</v>
      </c>
      <c r="Q20" s="63" t="s">
        <v>41</v>
      </c>
      <c r="R20" s="63">
        <v>5</v>
      </c>
      <c r="S20" s="63" t="s">
        <v>42</v>
      </c>
      <c r="T20" s="63" t="s">
        <v>42</v>
      </c>
      <c r="U20" s="65" t="str">
        <f t="shared" si="0"/>
        <v>N/A</v>
      </c>
    </row>
    <row r="21" spans="1:21" ht="75" customHeight="1">
      <c r="A21" s="56"/>
      <c r="B21" s="61" t="s">
        <v>43</v>
      </c>
      <c r="C21" s="62" t="s">
        <v>43</v>
      </c>
      <c r="D21" s="62"/>
      <c r="E21" s="62"/>
      <c r="F21" s="62"/>
      <c r="G21" s="62"/>
      <c r="H21" s="62"/>
      <c r="I21" s="62" t="s">
        <v>619</v>
      </c>
      <c r="J21" s="62"/>
      <c r="K21" s="62"/>
      <c r="L21" s="62" t="s">
        <v>620</v>
      </c>
      <c r="M21" s="62"/>
      <c r="N21" s="62"/>
      <c r="O21" s="62"/>
      <c r="P21" s="63" t="s">
        <v>40</v>
      </c>
      <c r="Q21" s="63" t="s">
        <v>41</v>
      </c>
      <c r="R21" s="63">
        <v>86.67</v>
      </c>
      <c r="S21" s="63" t="s">
        <v>42</v>
      </c>
      <c r="T21" s="63" t="s">
        <v>42</v>
      </c>
      <c r="U21" s="65" t="str">
        <f t="shared" si="0"/>
        <v>N/A</v>
      </c>
    </row>
    <row r="22" spans="1:21" ht="75" customHeight="1">
      <c r="A22" s="56"/>
      <c r="B22" s="61" t="s">
        <v>43</v>
      </c>
      <c r="C22" s="62" t="s">
        <v>43</v>
      </c>
      <c r="D22" s="62"/>
      <c r="E22" s="62"/>
      <c r="F22" s="62"/>
      <c r="G22" s="62"/>
      <c r="H22" s="62"/>
      <c r="I22" s="62" t="s">
        <v>621</v>
      </c>
      <c r="J22" s="62"/>
      <c r="K22" s="62"/>
      <c r="L22" s="62" t="s">
        <v>622</v>
      </c>
      <c r="M22" s="62"/>
      <c r="N22" s="62"/>
      <c r="O22" s="62"/>
      <c r="P22" s="63" t="s">
        <v>40</v>
      </c>
      <c r="Q22" s="63" t="s">
        <v>41</v>
      </c>
      <c r="R22" s="63">
        <v>84.62</v>
      </c>
      <c r="S22" s="63" t="s">
        <v>42</v>
      </c>
      <c r="T22" s="63" t="s">
        <v>42</v>
      </c>
      <c r="U22" s="65" t="str">
        <f t="shared" si="0"/>
        <v>N/A</v>
      </c>
    </row>
    <row r="23" spans="1:21" ht="75" customHeight="1">
      <c r="A23" s="56"/>
      <c r="B23" s="61" t="s">
        <v>43</v>
      </c>
      <c r="C23" s="62" t="s">
        <v>623</v>
      </c>
      <c r="D23" s="62"/>
      <c r="E23" s="62"/>
      <c r="F23" s="62"/>
      <c r="G23" s="62"/>
      <c r="H23" s="62"/>
      <c r="I23" s="62" t="s">
        <v>624</v>
      </c>
      <c r="J23" s="62"/>
      <c r="K23" s="62"/>
      <c r="L23" s="62" t="s">
        <v>625</v>
      </c>
      <c r="M23" s="62"/>
      <c r="N23" s="62"/>
      <c r="O23" s="62"/>
      <c r="P23" s="63" t="s">
        <v>40</v>
      </c>
      <c r="Q23" s="63" t="s">
        <v>93</v>
      </c>
      <c r="R23" s="63">
        <v>100</v>
      </c>
      <c r="S23" s="63">
        <v>0</v>
      </c>
      <c r="T23" s="63">
        <v>0</v>
      </c>
      <c r="U23" s="65" t="str">
        <f t="shared" si="0"/>
        <v>N/A</v>
      </c>
    </row>
    <row r="24" spans="1:21" ht="75" customHeight="1">
      <c r="A24" s="56"/>
      <c r="B24" s="61" t="s">
        <v>43</v>
      </c>
      <c r="C24" s="62" t="s">
        <v>43</v>
      </c>
      <c r="D24" s="62"/>
      <c r="E24" s="62"/>
      <c r="F24" s="62"/>
      <c r="G24" s="62"/>
      <c r="H24" s="62"/>
      <c r="I24" s="62" t="s">
        <v>626</v>
      </c>
      <c r="J24" s="62"/>
      <c r="K24" s="62"/>
      <c r="L24" s="62" t="s">
        <v>627</v>
      </c>
      <c r="M24" s="62"/>
      <c r="N24" s="62"/>
      <c r="O24" s="62"/>
      <c r="P24" s="63" t="s">
        <v>40</v>
      </c>
      <c r="Q24" s="63" t="s">
        <v>93</v>
      </c>
      <c r="R24" s="63">
        <v>100</v>
      </c>
      <c r="S24" s="63">
        <v>0</v>
      </c>
      <c r="T24" s="63">
        <v>1.1299999999999999</v>
      </c>
      <c r="U24" s="65" t="str">
        <f t="shared" si="0"/>
        <v>N/A</v>
      </c>
    </row>
    <row r="25" spans="1:21" ht="75" customHeight="1">
      <c r="A25" s="56"/>
      <c r="B25" s="61" t="s">
        <v>43</v>
      </c>
      <c r="C25" s="62" t="s">
        <v>43</v>
      </c>
      <c r="D25" s="62"/>
      <c r="E25" s="62"/>
      <c r="F25" s="62"/>
      <c r="G25" s="62"/>
      <c r="H25" s="62"/>
      <c r="I25" s="62" t="s">
        <v>628</v>
      </c>
      <c r="J25" s="62"/>
      <c r="K25" s="62"/>
      <c r="L25" s="62" t="s">
        <v>629</v>
      </c>
      <c r="M25" s="62"/>
      <c r="N25" s="62"/>
      <c r="O25" s="62"/>
      <c r="P25" s="63" t="s">
        <v>40</v>
      </c>
      <c r="Q25" s="63" t="s">
        <v>93</v>
      </c>
      <c r="R25" s="63">
        <v>95.7</v>
      </c>
      <c r="S25" s="63">
        <v>0</v>
      </c>
      <c r="T25" s="63">
        <v>0</v>
      </c>
      <c r="U25" s="65" t="str">
        <f t="shared" si="0"/>
        <v>N/A</v>
      </c>
    </row>
    <row r="26" spans="1:21" ht="75" customHeight="1">
      <c r="A26" s="56"/>
      <c r="B26" s="61" t="s">
        <v>43</v>
      </c>
      <c r="C26" s="62" t="s">
        <v>43</v>
      </c>
      <c r="D26" s="62"/>
      <c r="E26" s="62"/>
      <c r="F26" s="62"/>
      <c r="G26" s="62"/>
      <c r="H26" s="62"/>
      <c r="I26" s="62" t="s">
        <v>630</v>
      </c>
      <c r="J26" s="62"/>
      <c r="K26" s="62"/>
      <c r="L26" s="62" t="s">
        <v>631</v>
      </c>
      <c r="M26" s="62"/>
      <c r="N26" s="62"/>
      <c r="O26" s="62"/>
      <c r="P26" s="63" t="s">
        <v>40</v>
      </c>
      <c r="Q26" s="63" t="s">
        <v>55</v>
      </c>
      <c r="R26" s="63">
        <v>100</v>
      </c>
      <c r="S26" s="63">
        <v>95.69</v>
      </c>
      <c r="T26" s="63">
        <v>91.81</v>
      </c>
      <c r="U26" s="65">
        <f t="shared" si="0"/>
        <v>95.945239836973556</v>
      </c>
    </row>
    <row r="27" spans="1:21" ht="75" customHeight="1" thickBot="1">
      <c r="A27" s="56"/>
      <c r="B27" s="61" t="s">
        <v>43</v>
      </c>
      <c r="C27" s="62" t="s">
        <v>43</v>
      </c>
      <c r="D27" s="62"/>
      <c r="E27" s="62"/>
      <c r="F27" s="62"/>
      <c r="G27" s="62"/>
      <c r="H27" s="62"/>
      <c r="I27" s="62" t="s">
        <v>632</v>
      </c>
      <c r="J27" s="62"/>
      <c r="K27" s="62"/>
      <c r="L27" s="62" t="s">
        <v>633</v>
      </c>
      <c r="M27" s="62"/>
      <c r="N27" s="62"/>
      <c r="O27" s="62"/>
      <c r="P27" s="63" t="s">
        <v>40</v>
      </c>
      <c r="Q27" s="63" t="s">
        <v>93</v>
      </c>
      <c r="R27" s="63">
        <v>90</v>
      </c>
      <c r="S27" s="63">
        <v>0</v>
      </c>
      <c r="T27" s="63">
        <v>0</v>
      </c>
      <c r="U27" s="65" t="str">
        <f t="shared" si="0"/>
        <v>N/A</v>
      </c>
    </row>
    <row r="28" spans="1:21" ht="75" customHeight="1" thickTop="1">
      <c r="A28" s="56"/>
      <c r="B28" s="57" t="s">
        <v>56</v>
      </c>
      <c r="C28" s="58" t="s">
        <v>634</v>
      </c>
      <c r="D28" s="58"/>
      <c r="E28" s="58"/>
      <c r="F28" s="58"/>
      <c r="G28" s="58"/>
      <c r="H28" s="58"/>
      <c r="I28" s="58" t="s">
        <v>635</v>
      </c>
      <c r="J28" s="58"/>
      <c r="K28" s="58"/>
      <c r="L28" s="58" t="s">
        <v>636</v>
      </c>
      <c r="M28" s="58"/>
      <c r="N28" s="58"/>
      <c r="O28" s="58"/>
      <c r="P28" s="59" t="s">
        <v>40</v>
      </c>
      <c r="Q28" s="59" t="s">
        <v>222</v>
      </c>
      <c r="R28" s="59">
        <v>100</v>
      </c>
      <c r="S28" s="59">
        <v>100</v>
      </c>
      <c r="T28" s="59">
        <v>100</v>
      </c>
      <c r="U28" s="60">
        <f t="shared" si="0"/>
        <v>100</v>
      </c>
    </row>
    <row r="29" spans="1:21" ht="75" customHeight="1">
      <c r="A29" s="56"/>
      <c r="B29" s="61" t="s">
        <v>43</v>
      </c>
      <c r="C29" s="62" t="s">
        <v>637</v>
      </c>
      <c r="D29" s="62"/>
      <c r="E29" s="62"/>
      <c r="F29" s="62"/>
      <c r="G29" s="62"/>
      <c r="H29" s="62"/>
      <c r="I29" s="62" t="s">
        <v>638</v>
      </c>
      <c r="J29" s="62"/>
      <c r="K29" s="62"/>
      <c r="L29" s="62" t="s">
        <v>639</v>
      </c>
      <c r="M29" s="62"/>
      <c r="N29" s="62"/>
      <c r="O29" s="62"/>
      <c r="P29" s="63" t="s">
        <v>40</v>
      </c>
      <c r="Q29" s="63" t="s">
        <v>116</v>
      </c>
      <c r="R29" s="63">
        <v>0</v>
      </c>
      <c r="S29" s="63">
        <v>0</v>
      </c>
      <c r="T29" s="63">
        <v>0</v>
      </c>
      <c r="U29" s="65" t="str">
        <f t="shared" si="0"/>
        <v>N/A</v>
      </c>
    </row>
    <row r="30" spans="1:21" ht="75" customHeight="1">
      <c r="A30" s="56"/>
      <c r="B30" s="61" t="s">
        <v>43</v>
      </c>
      <c r="C30" s="62" t="s">
        <v>640</v>
      </c>
      <c r="D30" s="62"/>
      <c r="E30" s="62"/>
      <c r="F30" s="62"/>
      <c r="G30" s="62"/>
      <c r="H30" s="62"/>
      <c r="I30" s="62" t="s">
        <v>641</v>
      </c>
      <c r="J30" s="62"/>
      <c r="K30" s="62"/>
      <c r="L30" s="62" t="s">
        <v>642</v>
      </c>
      <c r="M30" s="62"/>
      <c r="N30" s="62"/>
      <c r="O30" s="62"/>
      <c r="P30" s="63" t="s">
        <v>40</v>
      </c>
      <c r="Q30" s="63" t="s">
        <v>60</v>
      </c>
      <c r="R30" s="63">
        <v>100</v>
      </c>
      <c r="S30" s="63">
        <v>100</v>
      </c>
      <c r="T30" s="63">
        <v>100</v>
      </c>
      <c r="U30" s="65">
        <f t="shared" si="0"/>
        <v>100</v>
      </c>
    </row>
    <row r="31" spans="1:21" ht="75" customHeight="1">
      <c r="A31" s="56"/>
      <c r="B31" s="61" t="s">
        <v>43</v>
      </c>
      <c r="C31" s="62" t="s">
        <v>643</v>
      </c>
      <c r="D31" s="62"/>
      <c r="E31" s="62"/>
      <c r="F31" s="62"/>
      <c r="G31" s="62"/>
      <c r="H31" s="62"/>
      <c r="I31" s="62" t="s">
        <v>644</v>
      </c>
      <c r="J31" s="62"/>
      <c r="K31" s="62"/>
      <c r="L31" s="62" t="s">
        <v>645</v>
      </c>
      <c r="M31" s="62"/>
      <c r="N31" s="62"/>
      <c r="O31" s="62"/>
      <c r="P31" s="63" t="s">
        <v>40</v>
      </c>
      <c r="Q31" s="63" t="s">
        <v>60</v>
      </c>
      <c r="R31" s="63">
        <v>100</v>
      </c>
      <c r="S31" s="63">
        <v>80</v>
      </c>
      <c r="T31" s="63">
        <v>140</v>
      </c>
      <c r="U31" s="65">
        <f t="shared" si="0"/>
        <v>175</v>
      </c>
    </row>
    <row r="32" spans="1:21" ht="75" customHeight="1">
      <c r="A32" s="56"/>
      <c r="B32" s="61" t="s">
        <v>43</v>
      </c>
      <c r="C32" s="62" t="s">
        <v>646</v>
      </c>
      <c r="D32" s="62"/>
      <c r="E32" s="62"/>
      <c r="F32" s="62"/>
      <c r="G32" s="62"/>
      <c r="H32" s="62"/>
      <c r="I32" s="62" t="s">
        <v>647</v>
      </c>
      <c r="J32" s="62"/>
      <c r="K32" s="62"/>
      <c r="L32" s="62" t="s">
        <v>648</v>
      </c>
      <c r="M32" s="62"/>
      <c r="N32" s="62"/>
      <c r="O32" s="62"/>
      <c r="P32" s="63" t="s">
        <v>40</v>
      </c>
      <c r="Q32" s="63" t="s">
        <v>60</v>
      </c>
      <c r="R32" s="63">
        <v>100</v>
      </c>
      <c r="S32" s="63">
        <v>100</v>
      </c>
      <c r="T32" s="63">
        <v>109.09</v>
      </c>
      <c r="U32" s="65">
        <f t="shared" si="0"/>
        <v>109.09</v>
      </c>
    </row>
    <row r="33" spans="1:22" ht="75" customHeight="1">
      <c r="A33" s="56"/>
      <c r="B33" s="61" t="s">
        <v>43</v>
      </c>
      <c r="C33" s="62" t="s">
        <v>649</v>
      </c>
      <c r="D33" s="62"/>
      <c r="E33" s="62"/>
      <c r="F33" s="62"/>
      <c r="G33" s="62"/>
      <c r="H33" s="62"/>
      <c r="I33" s="62" t="s">
        <v>650</v>
      </c>
      <c r="J33" s="62"/>
      <c r="K33" s="62"/>
      <c r="L33" s="62" t="s">
        <v>651</v>
      </c>
      <c r="M33" s="62"/>
      <c r="N33" s="62"/>
      <c r="O33" s="62"/>
      <c r="P33" s="63" t="s">
        <v>40</v>
      </c>
      <c r="Q33" s="63" t="s">
        <v>222</v>
      </c>
      <c r="R33" s="63">
        <v>100</v>
      </c>
      <c r="S33" s="63">
        <v>62.08</v>
      </c>
      <c r="T33" s="63">
        <v>100</v>
      </c>
      <c r="U33" s="65">
        <f t="shared" si="0"/>
        <v>161.08247422680412</v>
      </c>
    </row>
    <row r="34" spans="1:22" ht="75" customHeight="1">
      <c r="A34" s="56"/>
      <c r="B34" s="61" t="s">
        <v>43</v>
      </c>
      <c r="C34" s="62" t="s">
        <v>652</v>
      </c>
      <c r="D34" s="62"/>
      <c r="E34" s="62"/>
      <c r="F34" s="62"/>
      <c r="G34" s="62"/>
      <c r="H34" s="62"/>
      <c r="I34" s="62" t="s">
        <v>653</v>
      </c>
      <c r="J34" s="62"/>
      <c r="K34" s="62"/>
      <c r="L34" s="62" t="s">
        <v>654</v>
      </c>
      <c r="M34" s="62"/>
      <c r="N34" s="62"/>
      <c r="O34" s="62"/>
      <c r="P34" s="63" t="s">
        <v>40</v>
      </c>
      <c r="Q34" s="63" t="s">
        <v>106</v>
      </c>
      <c r="R34" s="63">
        <v>100</v>
      </c>
      <c r="S34" s="63" t="s">
        <v>42</v>
      </c>
      <c r="T34" s="63" t="s">
        <v>42</v>
      </c>
      <c r="U34" s="65" t="str">
        <f t="shared" si="0"/>
        <v>N/A</v>
      </c>
    </row>
    <row r="35" spans="1:22" ht="75" customHeight="1">
      <c r="A35" s="56"/>
      <c r="B35" s="61" t="s">
        <v>43</v>
      </c>
      <c r="C35" s="62" t="s">
        <v>655</v>
      </c>
      <c r="D35" s="62"/>
      <c r="E35" s="62"/>
      <c r="F35" s="62"/>
      <c r="G35" s="62"/>
      <c r="H35" s="62"/>
      <c r="I35" s="62" t="s">
        <v>656</v>
      </c>
      <c r="J35" s="62"/>
      <c r="K35" s="62"/>
      <c r="L35" s="62" t="s">
        <v>657</v>
      </c>
      <c r="M35" s="62"/>
      <c r="N35" s="62"/>
      <c r="O35" s="62"/>
      <c r="P35" s="63" t="s">
        <v>40</v>
      </c>
      <c r="Q35" s="63" t="s">
        <v>212</v>
      </c>
      <c r="R35" s="63">
        <v>90.91</v>
      </c>
      <c r="S35" s="63">
        <v>43.17</v>
      </c>
      <c r="T35" s="63">
        <v>90.91</v>
      </c>
      <c r="U35" s="65">
        <f t="shared" si="0"/>
        <v>210.5860551308779</v>
      </c>
    </row>
    <row r="36" spans="1:22" ht="75" customHeight="1">
      <c r="A36" s="56"/>
      <c r="B36" s="61" t="s">
        <v>43</v>
      </c>
      <c r="C36" s="62" t="s">
        <v>658</v>
      </c>
      <c r="D36" s="62"/>
      <c r="E36" s="62"/>
      <c r="F36" s="62"/>
      <c r="G36" s="62"/>
      <c r="H36" s="62"/>
      <c r="I36" s="62" t="s">
        <v>659</v>
      </c>
      <c r="J36" s="62"/>
      <c r="K36" s="62"/>
      <c r="L36" s="62" t="s">
        <v>660</v>
      </c>
      <c r="M36" s="62"/>
      <c r="N36" s="62"/>
      <c r="O36" s="62"/>
      <c r="P36" s="63" t="s">
        <v>40</v>
      </c>
      <c r="Q36" s="63" t="s">
        <v>60</v>
      </c>
      <c r="R36" s="63">
        <v>100</v>
      </c>
      <c r="S36" s="63">
        <v>70</v>
      </c>
      <c r="T36" s="63">
        <v>109.8</v>
      </c>
      <c r="U36" s="65">
        <f t="shared" si="0"/>
        <v>156.85714285714286</v>
      </c>
    </row>
    <row r="37" spans="1:22" ht="75" customHeight="1">
      <c r="A37" s="56"/>
      <c r="B37" s="61" t="s">
        <v>43</v>
      </c>
      <c r="C37" s="62" t="s">
        <v>661</v>
      </c>
      <c r="D37" s="62"/>
      <c r="E37" s="62"/>
      <c r="F37" s="62"/>
      <c r="G37" s="62"/>
      <c r="H37" s="62"/>
      <c r="I37" s="62" t="s">
        <v>662</v>
      </c>
      <c r="J37" s="62"/>
      <c r="K37" s="62"/>
      <c r="L37" s="62" t="s">
        <v>663</v>
      </c>
      <c r="M37" s="62"/>
      <c r="N37" s="62"/>
      <c r="O37" s="62"/>
      <c r="P37" s="63" t="s">
        <v>40</v>
      </c>
      <c r="Q37" s="63" t="s">
        <v>60</v>
      </c>
      <c r="R37" s="63">
        <v>100</v>
      </c>
      <c r="S37" s="63">
        <v>99.08</v>
      </c>
      <c r="T37" s="63">
        <v>95.52</v>
      </c>
      <c r="U37" s="65">
        <f t="shared" si="0"/>
        <v>96.406943883730307</v>
      </c>
    </row>
    <row r="38" spans="1:22" ht="75" customHeight="1">
      <c r="A38" s="56"/>
      <c r="B38" s="61" t="s">
        <v>43</v>
      </c>
      <c r="C38" s="62" t="s">
        <v>664</v>
      </c>
      <c r="D38" s="62"/>
      <c r="E38" s="62"/>
      <c r="F38" s="62"/>
      <c r="G38" s="62"/>
      <c r="H38" s="62"/>
      <c r="I38" s="62" t="s">
        <v>665</v>
      </c>
      <c r="J38" s="62"/>
      <c r="K38" s="62"/>
      <c r="L38" s="62" t="s">
        <v>666</v>
      </c>
      <c r="M38" s="62"/>
      <c r="N38" s="62"/>
      <c r="O38" s="62"/>
      <c r="P38" s="63" t="s">
        <v>40</v>
      </c>
      <c r="Q38" s="63" t="s">
        <v>106</v>
      </c>
      <c r="R38" s="63">
        <v>100</v>
      </c>
      <c r="S38" s="63" t="s">
        <v>42</v>
      </c>
      <c r="T38" s="63" t="s">
        <v>42</v>
      </c>
      <c r="U38" s="65" t="str">
        <f t="shared" si="0"/>
        <v>N/A</v>
      </c>
    </row>
    <row r="39" spans="1:22" ht="75" customHeight="1">
      <c r="A39" s="56"/>
      <c r="B39" s="61" t="s">
        <v>43</v>
      </c>
      <c r="C39" s="62" t="s">
        <v>667</v>
      </c>
      <c r="D39" s="62"/>
      <c r="E39" s="62"/>
      <c r="F39" s="62"/>
      <c r="G39" s="62"/>
      <c r="H39" s="62"/>
      <c r="I39" s="62" t="s">
        <v>668</v>
      </c>
      <c r="J39" s="62"/>
      <c r="K39" s="62"/>
      <c r="L39" s="62" t="s">
        <v>669</v>
      </c>
      <c r="M39" s="62"/>
      <c r="N39" s="62"/>
      <c r="O39" s="62"/>
      <c r="P39" s="63" t="s">
        <v>40</v>
      </c>
      <c r="Q39" s="63" t="s">
        <v>106</v>
      </c>
      <c r="R39" s="63">
        <v>100</v>
      </c>
      <c r="S39" s="63" t="s">
        <v>42</v>
      </c>
      <c r="T39" s="63" t="s">
        <v>42</v>
      </c>
      <c r="U39" s="65" t="str">
        <f t="shared" si="0"/>
        <v>N/A</v>
      </c>
    </row>
    <row r="40" spans="1:22" ht="75" customHeight="1" thickBot="1">
      <c r="A40" s="56"/>
      <c r="B40" s="61" t="s">
        <v>43</v>
      </c>
      <c r="C40" s="62" t="s">
        <v>670</v>
      </c>
      <c r="D40" s="62"/>
      <c r="E40" s="62"/>
      <c r="F40" s="62"/>
      <c r="G40" s="62"/>
      <c r="H40" s="62"/>
      <c r="I40" s="62" t="s">
        <v>671</v>
      </c>
      <c r="J40" s="62"/>
      <c r="K40" s="62"/>
      <c r="L40" s="62" t="s">
        <v>672</v>
      </c>
      <c r="M40" s="62"/>
      <c r="N40" s="62"/>
      <c r="O40" s="62"/>
      <c r="P40" s="63" t="s">
        <v>40</v>
      </c>
      <c r="Q40" s="63" t="s">
        <v>116</v>
      </c>
      <c r="R40" s="63">
        <v>24.71</v>
      </c>
      <c r="S40" s="63">
        <v>14.17</v>
      </c>
      <c r="T40" s="63">
        <v>20</v>
      </c>
      <c r="U40" s="65">
        <f t="shared" si="0"/>
        <v>141.14326040931547</v>
      </c>
    </row>
    <row r="41" spans="1:22" ht="22.5" customHeight="1" thickTop="1" thickBot="1">
      <c r="B41" s="9" t="s">
        <v>61</v>
      </c>
      <c r="C41" s="10"/>
      <c r="D41" s="10"/>
      <c r="E41" s="10"/>
      <c r="F41" s="10"/>
      <c r="G41" s="10"/>
      <c r="H41" s="11"/>
      <c r="I41" s="11"/>
      <c r="J41" s="11"/>
      <c r="K41" s="11"/>
      <c r="L41" s="11"/>
      <c r="M41" s="11"/>
      <c r="N41" s="11"/>
      <c r="O41" s="11"/>
      <c r="P41" s="11"/>
      <c r="Q41" s="11"/>
      <c r="R41" s="11"/>
      <c r="S41" s="11"/>
      <c r="T41" s="11"/>
      <c r="U41" s="12"/>
      <c r="V41" s="66"/>
    </row>
    <row r="42" spans="1:22" ht="26.25" customHeight="1" thickTop="1">
      <c r="B42" s="67"/>
      <c r="C42" s="68"/>
      <c r="D42" s="68"/>
      <c r="E42" s="68"/>
      <c r="F42" s="68"/>
      <c r="G42" s="68"/>
      <c r="H42" s="69"/>
      <c r="I42" s="69"/>
      <c r="J42" s="69"/>
      <c r="K42" s="69"/>
      <c r="L42" s="69"/>
      <c r="M42" s="69"/>
      <c r="N42" s="69"/>
      <c r="O42" s="69"/>
      <c r="P42" s="70"/>
      <c r="Q42" s="71"/>
      <c r="R42" s="72" t="s">
        <v>62</v>
      </c>
      <c r="S42" s="40" t="s">
        <v>63</v>
      </c>
      <c r="T42" s="72" t="s">
        <v>64</v>
      </c>
      <c r="U42" s="40" t="s">
        <v>65</v>
      </c>
    </row>
    <row r="43" spans="1:22" ht="26.25" customHeight="1" thickBot="1">
      <c r="B43" s="73"/>
      <c r="C43" s="74"/>
      <c r="D43" s="74"/>
      <c r="E43" s="74"/>
      <c r="F43" s="74"/>
      <c r="G43" s="74"/>
      <c r="H43" s="75"/>
      <c r="I43" s="75"/>
      <c r="J43" s="75"/>
      <c r="K43" s="75"/>
      <c r="L43" s="75"/>
      <c r="M43" s="75"/>
      <c r="N43" s="75"/>
      <c r="O43" s="75"/>
      <c r="P43" s="76"/>
      <c r="Q43" s="77"/>
      <c r="R43" s="78" t="s">
        <v>66</v>
      </c>
      <c r="S43" s="77" t="s">
        <v>66</v>
      </c>
      <c r="T43" s="77" t="s">
        <v>66</v>
      </c>
      <c r="U43" s="77" t="s">
        <v>67</v>
      </c>
    </row>
    <row r="44" spans="1:22" ht="13.5" customHeight="1" thickBot="1">
      <c r="B44" s="79" t="s">
        <v>68</v>
      </c>
      <c r="C44" s="80"/>
      <c r="D44" s="80"/>
      <c r="E44" s="81"/>
      <c r="F44" s="81"/>
      <c r="G44" s="81"/>
      <c r="H44" s="82"/>
      <c r="I44" s="82"/>
      <c r="J44" s="82"/>
      <c r="K44" s="82"/>
      <c r="L44" s="82"/>
      <c r="M44" s="82"/>
      <c r="N44" s="82"/>
      <c r="O44" s="82"/>
      <c r="P44" s="83"/>
      <c r="Q44" s="83"/>
      <c r="R44" s="84">
        <f>2225.800075</f>
        <v>2225.8000750000001</v>
      </c>
      <c r="S44" s="84">
        <f>1687.953803</f>
        <v>1687.9538030000001</v>
      </c>
      <c r="T44" s="84">
        <f>1301.27090306</f>
        <v>1301.2709030599999</v>
      </c>
      <c r="U44" s="85">
        <f>+IF(ISERR(T44/S44*100),"N/A",T44/S44*100)</f>
        <v>77.091618310125028</v>
      </c>
    </row>
    <row r="45" spans="1:22" ht="13.5" customHeight="1" thickBot="1">
      <c r="B45" s="86" t="s">
        <v>69</v>
      </c>
      <c r="C45" s="87"/>
      <c r="D45" s="87"/>
      <c r="E45" s="88"/>
      <c r="F45" s="88"/>
      <c r="G45" s="88"/>
      <c r="H45" s="89"/>
      <c r="I45" s="89"/>
      <c r="J45" s="89"/>
      <c r="K45" s="89"/>
      <c r="L45" s="89"/>
      <c r="M45" s="89"/>
      <c r="N45" s="89"/>
      <c r="O45" s="89"/>
      <c r="P45" s="90"/>
      <c r="Q45" s="90"/>
      <c r="R45" s="84">
        <f>1674.38606168</f>
        <v>1674.38606168</v>
      </c>
      <c r="S45" s="84">
        <f>1529.7907827</f>
        <v>1529.7907826999999</v>
      </c>
      <c r="T45" s="84">
        <f>1301.27090306</f>
        <v>1301.2709030599999</v>
      </c>
      <c r="U45" s="85">
        <f>+IF(ISERR(T45/S45*100),"N/A",T45/S45*100)</f>
        <v>85.062017484725942</v>
      </c>
    </row>
    <row r="46" spans="1:22" ht="14.85" customHeight="1" thickTop="1" thickBot="1">
      <c r="B46" s="9" t="s">
        <v>70</v>
      </c>
      <c r="C46" s="10"/>
      <c r="D46" s="10"/>
      <c r="E46" s="10"/>
      <c r="F46" s="10"/>
      <c r="G46" s="10"/>
      <c r="H46" s="11"/>
      <c r="I46" s="11"/>
      <c r="J46" s="11"/>
      <c r="K46" s="11"/>
      <c r="L46" s="11"/>
      <c r="M46" s="11"/>
      <c r="N46" s="11"/>
      <c r="O46" s="11"/>
      <c r="P46" s="11"/>
      <c r="Q46" s="11"/>
      <c r="R46" s="11"/>
      <c r="S46" s="11"/>
      <c r="T46" s="11"/>
      <c r="U46" s="12"/>
    </row>
    <row r="47" spans="1:22" ht="44.25" customHeight="1" thickTop="1">
      <c r="B47" s="91" t="s">
        <v>71</v>
      </c>
      <c r="C47" s="93"/>
      <c r="D47" s="93"/>
      <c r="E47" s="93"/>
      <c r="F47" s="93"/>
      <c r="G47" s="93"/>
      <c r="H47" s="93"/>
      <c r="I47" s="93"/>
      <c r="J47" s="93"/>
      <c r="K47" s="93"/>
      <c r="L47" s="93"/>
      <c r="M47" s="93"/>
      <c r="N47" s="93"/>
      <c r="O47" s="93"/>
      <c r="P47" s="93"/>
      <c r="Q47" s="93"/>
      <c r="R47" s="93"/>
      <c r="S47" s="93"/>
      <c r="T47" s="93"/>
      <c r="U47" s="92"/>
    </row>
    <row r="48" spans="1:22" ht="34.5" customHeight="1">
      <c r="B48" s="94" t="s">
        <v>673</v>
      </c>
      <c r="C48" s="96"/>
      <c r="D48" s="96"/>
      <c r="E48" s="96"/>
      <c r="F48" s="96"/>
      <c r="G48" s="96"/>
      <c r="H48" s="96"/>
      <c r="I48" s="96"/>
      <c r="J48" s="96"/>
      <c r="K48" s="96"/>
      <c r="L48" s="96"/>
      <c r="M48" s="96"/>
      <c r="N48" s="96"/>
      <c r="O48" s="96"/>
      <c r="P48" s="96"/>
      <c r="Q48" s="96"/>
      <c r="R48" s="96"/>
      <c r="S48" s="96"/>
      <c r="T48" s="96"/>
      <c r="U48" s="95"/>
    </row>
    <row r="49" spans="2:21" ht="34.5" customHeight="1">
      <c r="B49" s="94" t="s">
        <v>73</v>
      </c>
      <c r="C49" s="96"/>
      <c r="D49" s="96"/>
      <c r="E49" s="96"/>
      <c r="F49" s="96"/>
      <c r="G49" s="96"/>
      <c r="H49" s="96"/>
      <c r="I49" s="96"/>
      <c r="J49" s="96"/>
      <c r="K49" s="96"/>
      <c r="L49" s="96"/>
      <c r="M49" s="96"/>
      <c r="N49" s="96"/>
      <c r="O49" s="96"/>
      <c r="P49" s="96"/>
      <c r="Q49" s="96"/>
      <c r="R49" s="96"/>
      <c r="S49" s="96"/>
      <c r="T49" s="96"/>
      <c r="U49" s="95"/>
    </row>
    <row r="50" spans="2:21" ht="34.5" customHeight="1">
      <c r="B50" s="94" t="s">
        <v>674</v>
      </c>
      <c r="C50" s="96"/>
      <c r="D50" s="96"/>
      <c r="E50" s="96"/>
      <c r="F50" s="96"/>
      <c r="G50" s="96"/>
      <c r="H50" s="96"/>
      <c r="I50" s="96"/>
      <c r="J50" s="96"/>
      <c r="K50" s="96"/>
      <c r="L50" s="96"/>
      <c r="M50" s="96"/>
      <c r="N50" s="96"/>
      <c r="O50" s="96"/>
      <c r="P50" s="96"/>
      <c r="Q50" s="96"/>
      <c r="R50" s="96"/>
      <c r="S50" s="96"/>
      <c r="T50" s="96"/>
      <c r="U50" s="95"/>
    </row>
    <row r="51" spans="2:21" ht="38.1" customHeight="1">
      <c r="B51" s="94" t="s">
        <v>675</v>
      </c>
      <c r="C51" s="96"/>
      <c r="D51" s="96"/>
      <c r="E51" s="96"/>
      <c r="F51" s="96"/>
      <c r="G51" s="96"/>
      <c r="H51" s="96"/>
      <c r="I51" s="96"/>
      <c r="J51" s="96"/>
      <c r="K51" s="96"/>
      <c r="L51" s="96"/>
      <c r="M51" s="96"/>
      <c r="N51" s="96"/>
      <c r="O51" s="96"/>
      <c r="P51" s="96"/>
      <c r="Q51" s="96"/>
      <c r="R51" s="96"/>
      <c r="S51" s="96"/>
      <c r="T51" s="96"/>
      <c r="U51" s="95"/>
    </row>
    <row r="52" spans="2:21" ht="34.5" customHeight="1">
      <c r="B52" s="94" t="s">
        <v>676</v>
      </c>
      <c r="C52" s="96"/>
      <c r="D52" s="96"/>
      <c r="E52" s="96"/>
      <c r="F52" s="96"/>
      <c r="G52" s="96"/>
      <c r="H52" s="96"/>
      <c r="I52" s="96"/>
      <c r="J52" s="96"/>
      <c r="K52" s="96"/>
      <c r="L52" s="96"/>
      <c r="M52" s="96"/>
      <c r="N52" s="96"/>
      <c r="O52" s="96"/>
      <c r="P52" s="96"/>
      <c r="Q52" s="96"/>
      <c r="R52" s="96"/>
      <c r="S52" s="96"/>
      <c r="T52" s="96"/>
      <c r="U52" s="95"/>
    </row>
    <row r="53" spans="2:21" ht="46.35" customHeight="1">
      <c r="B53" s="94" t="s">
        <v>677</v>
      </c>
      <c r="C53" s="96"/>
      <c r="D53" s="96"/>
      <c r="E53" s="96"/>
      <c r="F53" s="96"/>
      <c r="G53" s="96"/>
      <c r="H53" s="96"/>
      <c r="I53" s="96"/>
      <c r="J53" s="96"/>
      <c r="K53" s="96"/>
      <c r="L53" s="96"/>
      <c r="M53" s="96"/>
      <c r="N53" s="96"/>
      <c r="O53" s="96"/>
      <c r="P53" s="96"/>
      <c r="Q53" s="96"/>
      <c r="R53" s="96"/>
      <c r="S53" s="96"/>
      <c r="T53" s="96"/>
      <c r="U53" s="95"/>
    </row>
    <row r="54" spans="2:21" ht="18.95" customHeight="1">
      <c r="B54" s="94" t="s">
        <v>678</v>
      </c>
      <c r="C54" s="96"/>
      <c r="D54" s="96"/>
      <c r="E54" s="96"/>
      <c r="F54" s="96"/>
      <c r="G54" s="96"/>
      <c r="H54" s="96"/>
      <c r="I54" s="96"/>
      <c r="J54" s="96"/>
      <c r="K54" s="96"/>
      <c r="L54" s="96"/>
      <c r="M54" s="96"/>
      <c r="N54" s="96"/>
      <c r="O54" s="96"/>
      <c r="P54" s="96"/>
      <c r="Q54" s="96"/>
      <c r="R54" s="96"/>
      <c r="S54" s="96"/>
      <c r="T54" s="96"/>
      <c r="U54" s="95"/>
    </row>
    <row r="55" spans="2:21" ht="34.5" customHeight="1">
      <c r="B55" s="94" t="s">
        <v>679</v>
      </c>
      <c r="C55" s="96"/>
      <c r="D55" s="96"/>
      <c r="E55" s="96"/>
      <c r="F55" s="96"/>
      <c r="G55" s="96"/>
      <c r="H55" s="96"/>
      <c r="I55" s="96"/>
      <c r="J55" s="96"/>
      <c r="K55" s="96"/>
      <c r="L55" s="96"/>
      <c r="M55" s="96"/>
      <c r="N55" s="96"/>
      <c r="O55" s="96"/>
      <c r="P55" s="96"/>
      <c r="Q55" s="96"/>
      <c r="R55" s="96"/>
      <c r="S55" s="96"/>
      <c r="T55" s="96"/>
      <c r="U55" s="95"/>
    </row>
    <row r="56" spans="2:21" ht="23.25" customHeight="1">
      <c r="B56" s="94" t="s">
        <v>680</v>
      </c>
      <c r="C56" s="96"/>
      <c r="D56" s="96"/>
      <c r="E56" s="96"/>
      <c r="F56" s="96"/>
      <c r="G56" s="96"/>
      <c r="H56" s="96"/>
      <c r="I56" s="96"/>
      <c r="J56" s="96"/>
      <c r="K56" s="96"/>
      <c r="L56" s="96"/>
      <c r="M56" s="96"/>
      <c r="N56" s="96"/>
      <c r="O56" s="96"/>
      <c r="P56" s="96"/>
      <c r="Q56" s="96"/>
      <c r="R56" s="96"/>
      <c r="S56" s="96"/>
      <c r="T56" s="96"/>
      <c r="U56" s="95"/>
    </row>
    <row r="57" spans="2:21" ht="34.5" customHeight="1">
      <c r="B57" s="94" t="s">
        <v>681</v>
      </c>
      <c r="C57" s="96"/>
      <c r="D57" s="96"/>
      <c r="E57" s="96"/>
      <c r="F57" s="96"/>
      <c r="G57" s="96"/>
      <c r="H57" s="96"/>
      <c r="I57" s="96"/>
      <c r="J57" s="96"/>
      <c r="K57" s="96"/>
      <c r="L57" s="96"/>
      <c r="M57" s="96"/>
      <c r="N57" s="96"/>
      <c r="O57" s="96"/>
      <c r="P57" s="96"/>
      <c r="Q57" s="96"/>
      <c r="R57" s="96"/>
      <c r="S57" s="96"/>
      <c r="T57" s="96"/>
      <c r="U57" s="95"/>
    </row>
    <row r="58" spans="2:21" ht="34.5" customHeight="1">
      <c r="B58" s="94" t="s">
        <v>682</v>
      </c>
      <c r="C58" s="96"/>
      <c r="D58" s="96"/>
      <c r="E58" s="96"/>
      <c r="F58" s="96"/>
      <c r="G58" s="96"/>
      <c r="H58" s="96"/>
      <c r="I58" s="96"/>
      <c r="J58" s="96"/>
      <c r="K58" s="96"/>
      <c r="L58" s="96"/>
      <c r="M58" s="96"/>
      <c r="N58" s="96"/>
      <c r="O58" s="96"/>
      <c r="P58" s="96"/>
      <c r="Q58" s="96"/>
      <c r="R58" s="96"/>
      <c r="S58" s="96"/>
      <c r="T58" s="96"/>
      <c r="U58" s="95"/>
    </row>
    <row r="59" spans="2:21" ht="34.5" customHeight="1">
      <c r="B59" s="94" t="s">
        <v>683</v>
      </c>
      <c r="C59" s="96"/>
      <c r="D59" s="96"/>
      <c r="E59" s="96"/>
      <c r="F59" s="96"/>
      <c r="G59" s="96"/>
      <c r="H59" s="96"/>
      <c r="I59" s="96"/>
      <c r="J59" s="96"/>
      <c r="K59" s="96"/>
      <c r="L59" s="96"/>
      <c r="M59" s="96"/>
      <c r="N59" s="96"/>
      <c r="O59" s="96"/>
      <c r="P59" s="96"/>
      <c r="Q59" s="96"/>
      <c r="R59" s="96"/>
      <c r="S59" s="96"/>
      <c r="T59" s="96"/>
      <c r="U59" s="95"/>
    </row>
    <row r="60" spans="2:21" ht="18" customHeight="1">
      <c r="B60" s="94" t="s">
        <v>684</v>
      </c>
      <c r="C60" s="96"/>
      <c r="D60" s="96"/>
      <c r="E60" s="96"/>
      <c r="F60" s="96"/>
      <c r="G60" s="96"/>
      <c r="H60" s="96"/>
      <c r="I60" s="96"/>
      <c r="J60" s="96"/>
      <c r="K60" s="96"/>
      <c r="L60" s="96"/>
      <c r="M60" s="96"/>
      <c r="N60" s="96"/>
      <c r="O60" s="96"/>
      <c r="P60" s="96"/>
      <c r="Q60" s="96"/>
      <c r="R60" s="96"/>
      <c r="S60" s="96"/>
      <c r="T60" s="96"/>
      <c r="U60" s="95"/>
    </row>
    <row r="61" spans="2:21" ht="44.45" customHeight="1">
      <c r="B61" s="94" t="s">
        <v>685</v>
      </c>
      <c r="C61" s="96"/>
      <c r="D61" s="96"/>
      <c r="E61" s="96"/>
      <c r="F61" s="96"/>
      <c r="G61" s="96"/>
      <c r="H61" s="96"/>
      <c r="I61" s="96"/>
      <c r="J61" s="96"/>
      <c r="K61" s="96"/>
      <c r="L61" s="96"/>
      <c r="M61" s="96"/>
      <c r="N61" s="96"/>
      <c r="O61" s="96"/>
      <c r="P61" s="96"/>
      <c r="Q61" s="96"/>
      <c r="R61" s="96"/>
      <c r="S61" s="96"/>
      <c r="T61" s="96"/>
      <c r="U61" s="95"/>
    </row>
    <row r="62" spans="2:21" ht="19.7" customHeight="1">
      <c r="B62" s="94" t="s">
        <v>686</v>
      </c>
      <c r="C62" s="96"/>
      <c r="D62" s="96"/>
      <c r="E62" s="96"/>
      <c r="F62" s="96"/>
      <c r="G62" s="96"/>
      <c r="H62" s="96"/>
      <c r="I62" s="96"/>
      <c r="J62" s="96"/>
      <c r="K62" s="96"/>
      <c r="L62" s="96"/>
      <c r="M62" s="96"/>
      <c r="N62" s="96"/>
      <c r="O62" s="96"/>
      <c r="P62" s="96"/>
      <c r="Q62" s="96"/>
      <c r="R62" s="96"/>
      <c r="S62" s="96"/>
      <c r="T62" s="96"/>
      <c r="U62" s="95"/>
    </row>
    <row r="63" spans="2:21" ht="45.2" customHeight="1">
      <c r="B63" s="94" t="s">
        <v>687</v>
      </c>
      <c r="C63" s="96"/>
      <c r="D63" s="96"/>
      <c r="E63" s="96"/>
      <c r="F63" s="96"/>
      <c r="G63" s="96"/>
      <c r="H63" s="96"/>
      <c r="I63" s="96"/>
      <c r="J63" s="96"/>
      <c r="K63" s="96"/>
      <c r="L63" s="96"/>
      <c r="M63" s="96"/>
      <c r="N63" s="96"/>
      <c r="O63" s="96"/>
      <c r="P63" s="96"/>
      <c r="Q63" s="96"/>
      <c r="R63" s="96"/>
      <c r="S63" s="96"/>
      <c r="T63" s="96"/>
      <c r="U63" s="95"/>
    </row>
    <row r="64" spans="2:21" ht="19.7" customHeight="1">
      <c r="B64" s="94" t="s">
        <v>688</v>
      </c>
      <c r="C64" s="96"/>
      <c r="D64" s="96"/>
      <c r="E64" s="96"/>
      <c r="F64" s="96"/>
      <c r="G64" s="96"/>
      <c r="H64" s="96"/>
      <c r="I64" s="96"/>
      <c r="J64" s="96"/>
      <c r="K64" s="96"/>
      <c r="L64" s="96"/>
      <c r="M64" s="96"/>
      <c r="N64" s="96"/>
      <c r="O64" s="96"/>
      <c r="P64" s="96"/>
      <c r="Q64" s="96"/>
      <c r="R64" s="96"/>
      <c r="S64" s="96"/>
      <c r="T64" s="96"/>
      <c r="U64" s="95"/>
    </row>
    <row r="65" spans="2:21" ht="20.100000000000001" customHeight="1">
      <c r="B65" s="94" t="s">
        <v>689</v>
      </c>
      <c r="C65" s="96"/>
      <c r="D65" s="96"/>
      <c r="E65" s="96"/>
      <c r="F65" s="96"/>
      <c r="G65" s="96"/>
      <c r="H65" s="96"/>
      <c r="I65" s="96"/>
      <c r="J65" s="96"/>
      <c r="K65" s="96"/>
      <c r="L65" s="96"/>
      <c r="M65" s="96"/>
      <c r="N65" s="96"/>
      <c r="O65" s="96"/>
      <c r="P65" s="96"/>
      <c r="Q65" s="96"/>
      <c r="R65" s="96"/>
      <c r="S65" s="96"/>
      <c r="T65" s="96"/>
      <c r="U65" s="95"/>
    </row>
    <row r="66" spans="2:21" ht="16.7" customHeight="1">
      <c r="B66" s="94" t="s">
        <v>690</v>
      </c>
      <c r="C66" s="96"/>
      <c r="D66" s="96"/>
      <c r="E66" s="96"/>
      <c r="F66" s="96"/>
      <c r="G66" s="96"/>
      <c r="H66" s="96"/>
      <c r="I66" s="96"/>
      <c r="J66" s="96"/>
      <c r="K66" s="96"/>
      <c r="L66" s="96"/>
      <c r="M66" s="96"/>
      <c r="N66" s="96"/>
      <c r="O66" s="96"/>
      <c r="P66" s="96"/>
      <c r="Q66" s="96"/>
      <c r="R66" s="96"/>
      <c r="S66" s="96"/>
      <c r="T66" s="96"/>
      <c r="U66" s="95"/>
    </row>
    <row r="67" spans="2:21" ht="34.5" customHeight="1">
      <c r="B67" s="94" t="s">
        <v>691</v>
      </c>
      <c r="C67" s="96"/>
      <c r="D67" s="96"/>
      <c r="E67" s="96"/>
      <c r="F67" s="96"/>
      <c r="G67" s="96"/>
      <c r="H67" s="96"/>
      <c r="I67" s="96"/>
      <c r="J67" s="96"/>
      <c r="K67" s="96"/>
      <c r="L67" s="96"/>
      <c r="M67" s="96"/>
      <c r="N67" s="96"/>
      <c r="O67" s="96"/>
      <c r="P67" s="96"/>
      <c r="Q67" s="96"/>
      <c r="R67" s="96"/>
      <c r="S67" s="96"/>
      <c r="T67" s="96"/>
      <c r="U67" s="95"/>
    </row>
    <row r="68" spans="2:21" ht="34.35" customHeight="1">
      <c r="B68" s="94" t="s">
        <v>692</v>
      </c>
      <c r="C68" s="96"/>
      <c r="D68" s="96"/>
      <c r="E68" s="96"/>
      <c r="F68" s="96"/>
      <c r="G68" s="96"/>
      <c r="H68" s="96"/>
      <c r="I68" s="96"/>
      <c r="J68" s="96"/>
      <c r="K68" s="96"/>
      <c r="L68" s="96"/>
      <c r="M68" s="96"/>
      <c r="N68" s="96"/>
      <c r="O68" s="96"/>
      <c r="P68" s="96"/>
      <c r="Q68" s="96"/>
      <c r="R68" s="96"/>
      <c r="S68" s="96"/>
      <c r="T68" s="96"/>
      <c r="U68" s="95"/>
    </row>
    <row r="69" spans="2:21" ht="47.1" customHeight="1">
      <c r="B69" s="94" t="s">
        <v>693</v>
      </c>
      <c r="C69" s="96"/>
      <c r="D69" s="96"/>
      <c r="E69" s="96"/>
      <c r="F69" s="96"/>
      <c r="G69" s="96"/>
      <c r="H69" s="96"/>
      <c r="I69" s="96"/>
      <c r="J69" s="96"/>
      <c r="K69" s="96"/>
      <c r="L69" s="96"/>
      <c r="M69" s="96"/>
      <c r="N69" s="96"/>
      <c r="O69" s="96"/>
      <c r="P69" s="96"/>
      <c r="Q69" s="96"/>
      <c r="R69" s="96"/>
      <c r="S69" s="96"/>
      <c r="T69" s="96"/>
      <c r="U69" s="95"/>
    </row>
    <row r="70" spans="2:21" ht="39.75" customHeight="1">
      <c r="B70" s="94" t="s">
        <v>694</v>
      </c>
      <c r="C70" s="96"/>
      <c r="D70" s="96"/>
      <c r="E70" s="96"/>
      <c r="F70" s="96"/>
      <c r="G70" s="96"/>
      <c r="H70" s="96"/>
      <c r="I70" s="96"/>
      <c r="J70" s="96"/>
      <c r="K70" s="96"/>
      <c r="L70" s="96"/>
      <c r="M70" s="96"/>
      <c r="N70" s="96"/>
      <c r="O70" s="96"/>
      <c r="P70" s="96"/>
      <c r="Q70" s="96"/>
      <c r="R70" s="96"/>
      <c r="S70" s="96"/>
      <c r="T70" s="96"/>
      <c r="U70" s="95"/>
    </row>
    <row r="71" spans="2:21" ht="34.5" customHeight="1">
      <c r="B71" s="94" t="s">
        <v>695</v>
      </c>
      <c r="C71" s="96"/>
      <c r="D71" s="96"/>
      <c r="E71" s="96"/>
      <c r="F71" s="96"/>
      <c r="G71" s="96"/>
      <c r="H71" s="96"/>
      <c r="I71" s="96"/>
      <c r="J71" s="96"/>
      <c r="K71" s="96"/>
      <c r="L71" s="96"/>
      <c r="M71" s="96"/>
      <c r="N71" s="96"/>
      <c r="O71" s="96"/>
      <c r="P71" s="96"/>
      <c r="Q71" s="96"/>
      <c r="R71" s="96"/>
      <c r="S71" s="96"/>
      <c r="T71" s="96"/>
      <c r="U71" s="95"/>
    </row>
    <row r="72" spans="2:21" ht="57.95" customHeight="1">
      <c r="B72" s="94" t="s">
        <v>696</v>
      </c>
      <c r="C72" s="96"/>
      <c r="D72" s="96"/>
      <c r="E72" s="96"/>
      <c r="F72" s="96"/>
      <c r="G72" s="96"/>
      <c r="H72" s="96"/>
      <c r="I72" s="96"/>
      <c r="J72" s="96"/>
      <c r="K72" s="96"/>
      <c r="L72" s="96"/>
      <c r="M72" s="96"/>
      <c r="N72" s="96"/>
      <c r="O72" s="96"/>
      <c r="P72" s="96"/>
      <c r="Q72" s="96"/>
      <c r="R72" s="96"/>
      <c r="S72" s="96"/>
      <c r="T72" s="96"/>
      <c r="U72" s="95"/>
    </row>
    <row r="73" spans="2:21" ht="33.6" customHeight="1">
      <c r="B73" s="94" t="s">
        <v>697</v>
      </c>
      <c r="C73" s="96"/>
      <c r="D73" s="96"/>
      <c r="E73" s="96"/>
      <c r="F73" s="96"/>
      <c r="G73" s="96"/>
      <c r="H73" s="96"/>
      <c r="I73" s="96"/>
      <c r="J73" s="96"/>
      <c r="K73" s="96"/>
      <c r="L73" s="96"/>
      <c r="M73" s="96"/>
      <c r="N73" s="96"/>
      <c r="O73" s="96"/>
      <c r="P73" s="96"/>
      <c r="Q73" s="96"/>
      <c r="R73" s="96"/>
      <c r="S73" s="96"/>
      <c r="T73" s="96"/>
      <c r="U73" s="95"/>
    </row>
    <row r="74" spans="2:21" ht="44.45" customHeight="1">
      <c r="B74" s="94" t="s">
        <v>698</v>
      </c>
      <c r="C74" s="96"/>
      <c r="D74" s="96"/>
      <c r="E74" s="96"/>
      <c r="F74" s="96"/>
      <c r="G74" s="96"/>
      <c r="H74" s="96"/>
      <c r="I74" s="96"/>
      <c r="J74" s="96"/>
      <c r="K74" s="96"/>
      <c r="L74" s="96"/>
      <c r="M74" s="96"/>
      <c r="N74" s="96"/>
      <c r="O74" s="96"/>
      <c r="P74" s="96"/>
      <c r="Q74" s="96"/>
      <c r="R74" s="96"/>
      <c r="S74" s="96"/>
      <c r="T74" s="96"/>
      <c r="U74" s="95"/>
    </row>
    <row r="75" spans="2:21" ht="34.5" customHeight="1">
      <c r="B75" s="94" t="s">
        <v>699</v>
      </c>
      <c r="C75" s="96"/>
      <c r="D75" s="96"/>
      <c r="E75" s="96"/>
      <c r="F75" s="96"/>
      <c r="G75" s="96"/>
      <c r="H75" s="96"/>
      <c r="I75" s="96"/>
      <c r="J75" s="96"/>
      <c r="K75" s="96"/>
      <c r="L75" s="96"/>
      <c r="M75" s="96"/>
      <c r="N75" s="96"/>
      <c r="O75" s="96"/>
      <c r="P75" s="96"/>
      <c r="Q75" s="96"/>
      <c r="R75" s="96"/>
      <c r="S75" s="96"/>
      <c r="T75" s="96"/>
      <c r="U75" s="95"/>
    </row>
    <row r="76" spans="2:21" ht="34.5" customHeight="1">
      <c r="B76" s="94" t="s">
        <v>700</v>
      </c>
      <c r="C76" s="96"/>
      <c r="D76" s="96"/>
      <c r="E76" s="96"/>
      <c r="F76" s="96"/>
      <c r="G76" s="96"/>
      <c r="H76" s="96"/>
      <c r="I76" s="96"/>
      <c r="J76" s="96"/>
      <c r="K76" s="96"/>
      <c r="L76" s="96"/>
      <c r="M76" s="96"/>
      <c r="N76" s="96"/>
      <c r="O76" s="96"/>
      <c r="P76" s="96"/>
      <c r="Q76" s="96"/>
      <c r="R76" s="96"/>
      <c r="S76" s="96"/>
      <c r="T76" s="96"/>
      <c r="U76" s="95"/>
    </row>
    <row r="77" spans="2:21" ht="35.85" customHeight="1" thickBot="1">
      <c r="B77" s="97" t="s">
        <v>701</v>
      </c>
      <c r="C77" s="99"/>
      <c r="D77" s="99"/>
      <c r="E77" s="99"/>
      <c r="F77" s="99"/>
      <c r="G77" s="99"/>
      <c r="H77" s="99"/>
      <c r="I77" s="99"/>
      <c r="J77" s="99"/>
      <c r="K77" s="99"/>
      <c r="L77" s="99"/>
      <c r="M77" s="99"/>
      <c r="N77" s="99"/>
      <c r="O77" s="99"/>
      <c r="P77" s="99"/>
      <c r="Q77" s="99"/>
      <c r="R77" s="99"/>
      <c r="S77" s="99"/>
      <c r="T77" s="99"/>
      <c r="U77" s="98"/>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4" sqref="I14:K1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702</v>
      </c>
      <c r="D4" s="15" t="s">
        <v>703</v>
      </c>
      <c r="E4" s="15"/>
      <c r="F4" s="15"/>
      <c r="G4" s="15"/>
      <c r="H4" s="15"/>
      <c r="I4" s="16"/>
      <c r="J4" s="17" t="s">
        <v>6</v>
      </c>
      <c r="K4" s="18" t="s">
        <v>7</v>
      </c>
      <c r="L4" s="19" t="s">
        <v>8</v>
      </c>
      <c r="M4" s="19"/>
      <c r="N4" s="19"/>
      <c r="O4" s="19"/>
      <c r="P4" s="17" t="s">
        <v>9</v>
      </c>
      <c r="Q4" s="19" t="s">
        <v>704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705</v>
      </c>
      <c r="D11" s="58"/>
      <c r="E11" s="58"/>
      <c r="F11" s="58"/>
      <c r="G11" s="58"/>
      <c r="H11" s="58"/>
      <c r="I11" s="58" t="s">
        <v>706</v>
      </c>
      <c r="J11" s="58"/>
      <c r="K11" s="58"/>
      <c r="L11" s="58" t="s">
        <v>707</v>
      </c>
      <c r="M11" s="58"/>
      <c r="N11" s="58"/>
      <c r="O11" s="58"/>
      <c r="P11" s="59" t="s">
        <v>40</v>
      </c>
      <c r="Q11" s="59" t="s">
        <v>41</v>
      </c>
      <c r="R11" s="59">
        <v>9.25</v>
      </c>
      <c r="S11" s="59" t="s">
        <v>42</v>
      </c>
      <c r="T11" s="59" t="s">
        <v>42</v>
      </c>
      <c r="U11" s="60" t="str">
        <f t="shared" ref="U11:U19" si="0">IF(ISERR(T11/S11*100),"N/A",T11/S11*100)</f>
        <v>N/A</v>
      </c>
    </row>
    <row r="12" spans="1:34" ht="75" customHeight="1">
      <c r="A12" s="56"/>
      <c r="B12" s="61" t="s">
        <v>43</v>
      </c>
      <c r="C12" s="62" t="s">
        <v>43</v>
      </c>
      <c r="D12" s="62"/>
      <c r="E12" s="62"/>
      <c r="F12" s="62"/>
      <c r="G12" s="62"/>
      <c r="H12" s="62"/>
      <c r="I12" s="62" t="s">
        <v>708</v>
      </c>
      <c r="J12" s="62"/>
      <c r="K12" s="62"/>
      <c r="L12" s="62" t="s">
        <v>709</v>
      </c>
      <c r="M12" s="62"/>
      <c r="N12" s="62"/>
      <c r="O12" s="62"/>
      <c r="P12" s="63" t="s">
        <v>297</v>
      </c>
      <c r="Q12" s="63" t="s">
        <v>41</v>
      </c>
      <c r="R12" s="63">
        <v>81.95</v>
      </c>
      <c r="S12" s="63" t="s">
        <v>42</v>
      </c>
      <c r="T12" s="63" t="s">
        <v>42</v>
      </c>
      <c r="U12" s="65" t="str">
        <f t="shared" si="0"/>
        <v>N/A</v>
      </c>
    </row>
    <row r="13" spans="1:34" ht="75" customHeight="1">
      <c r="A13" s="56"/>
      <c r="B13" s="61" t="s">
        <v>43</v>
      </c>
      <c r="C13" s="62" t="s">
        <v>43</v>
      </c>
      <c r="D13" s="62"/>
      <c r="E13" s="62"/>
      <c r="F13" s="62"/>
      <c r="G13" s="62"/>
      <c r="H13" s="62"/>
      <c r="I13" s="62" t="s">
        <v>710</v>
      </c>
      <c r="J13" s="62"/>
      <c r="K13" s="62"/>
      <c r="L13" s="62" t="s">
        <v>711</v>
      </c>
      <c r="M13" s="62"/>
      <c r="N13" s="62"/>
      <c r="O13" s="62"/>
      <c r="P13" s="63" t="s">
        <v>40</v>
      </c>
      <c r="Q13" s="63" t="s">
        <v>41</v>
      </c>
      <c r="R13" s="63">
        <v>42.87</v>
      </c>
      <c r="S13" s="63" t="s">
        <v>42</v>
      </c>
      <c r="T13" s="63" t="s">
        <v>42</v>
      </c>
      <c r="U13" s="65" t="str">
        <f t="shared" si="0"/>
        <v>N/A</v>
      </c>
    </row>
    <row r="14" spans="1:34" ht="75" customHeight="1" thickBot="1">
      <c r="A14" s="56"/>
      <c r="B14" s="61" t="s">
        <v>43</v>
      </c>
      <c r="C14" s="62" t="s">
        <v>43</v>
      </c>
      <c r="D14" s="62"/>
      <c r="E14" s="62"/>
      <c r="F14" s="62"/>
      <c r="G14" s="62"/>
      <c r="H14" s="62"/>
      <c r="I14" s="62" t="s">
        <v>1296</v>
      </c>
      <c r="J14" s="62"/>
      <c r="K14" s="62"/>
      <c r="L14" s="62" t="s">
        <v>712</v>
      </c>
      <c r="M14" s="62"/>
      <c r="N14" s="62"/>
      <c r="O14" s="62"/>
      <c r="P14" s="63" t="s">
        <v>40</v>
      </c>
      <c r="Q14" s="63" t="s">
        <v>106</v>
      </c>
      <c r="R14" s="64">
        <v>88</v>
      </c>
      <c r="S14" s="64" t="s">
        <v>42</v>
      </c>
      <c r="T14" s="64" t="s">
        <v>42</v>
      </c>
      <c r="U14" s="65" t="str">
        <f t="shared" si="0"/>
        <v>N/A</v>
      </c>
    </row>
    <row r="15" spans="1:34" ht="75" customHeight="1" thickTop="1">
      <c r="A15" s="56"/>
      <c r="B15" s="57" t="s">
        <v>46</v>
      </c>
      <c r="C15" s="58" t="s">
        <v>713</v>
      </c>
      <c r="D15" s="58"/>
      <c r="E15" s="58"/>
      <c r="F15" s="58"/>
      <c r="G15" s="58"/>
      <c r="H15" s="58"/>
      <c r="I15" s="58" t="s">
        <v>714</v>
      </c>
      <c r="J15" s="58"/>
      <c r="K15" s="58"/>
      <c r="L15" s="58" t="s">
        <v>715</v>
      </c>
      <c r="M15" s="58"/>
      <c r="N15" s="58"/>
      <c r="O15" s="58"/>
      <c r="P15" s="59" t="s">
        <v>40</v>
      </c>
      <c r="Q15" s="59" t="s">
        <v>41</v>
      </c>
      <c r="R15" s="59">
        <v>75.23</v>
      </c>
      <c r="S15" s="59" t="s">
        <v>42</v>
      </c>
      <c r="T15" s="59" t="s">
        <v>42</v>
      </c>
      <c r="U15" s="60" t="str">
        <f t="shared" si="0"/>
        <v>N/A</v>
      </c>
    </row>
    <row r="16" spans="1:34" ht="75" customHeight="1" thickBot="1">
      <c r="A16" s="56"/>
      <c r="B16" s="61" t="s">
        <v>43</v>
      </c>
      <c r="C16" s="62" t="s">
        <v>43</v>
      </c>
      <c r="D16" s="62"/>
      <c r="E16" s="62"/>
      <c r="F16" s="62"/>
      <c r="G16" s="62"/>
      <c r="H16" s="62"/>
      <c r="I16" s="62" t="s">
        <v>716</v>
      </c>
      <c r="J16" s="62"/>
      <c r="K16" s="62"/>
      <c r="L16" s="62" t="s">
        <v>717</v>
      </c>
      <c r="M16" s="62"/>
      <c r="N16" s="62"/>
      <c r="O16" s="62"/>
      <c r="P16" s="63" t="s">
        <v>40</v>
      </c>
      <c r="Q16" s="63" t="s">
        <v>41</v>
      </c>
      <c r="R16" s="63">
        <v>59.12</v>
      </c>
      <c r="S16" s="63" t="s">
        <v>42</v>
      </c>
      <c r="T16" s="63" t="s">
        <v>42</v>
      </c>
      <c r="U16" s="65" t="str">
        <f t="shared" si="0"/>
        <v>N/A</v>
      </c>
    </row>
    <row r="17" spans="1:21" ht="75" customHeight="1" thickTop="1">
      <c r="A17" s="56"/>
      <c r="B17" s="57" t="s">
        <v>51</v>
      </c>
      <c r="C17" s="58" t="s">
        <v>718</v>
      </c>
      <c r="D17" s="58"/>
      <c r="E17" s="58"/>
      <c r="F17" s="58"/>
      <c r="G17" s="58"/>
      <c r="H17" s="58"/>
      <c r="I17" s="58" t="s">
        <v>719</v>
      </c>
      <c r="J17" s="58"/>
      <c r="K17" s="58"/>
      <c r="L17" s="58" t="s">
        <v>720</v>
      </c>
      <c r="M17" s="58"/>
      <c r="N17" s="58"/>
      <c r="O17" s="58"/>
      <c r="P17" s="59" t="s">
        <v>40</v>
      </c>
      <c r="Q17" s="59" t="s">
        <v>93</v>
      </c>
      <c r="R17" s="59">
        <v>39.07</v>
      </c>
      <c r="S17" s="59">
        <v>31.84</v>
      </c>
      <c r="T17" s="59">
        <v>26.53</v>
      </c>
      <c r="U17" s="60">
        <f t="shared" si="0"/>
        <v>83.322864321608051</v>
      </c>
    </row>
    <row r="18" spans="1:21" ht="75" customHeight="1">
      <c r="A18" s="56"/>
      <c r="B18" s="61" t="s">
        <v>43</v>
      </c>
      <c r="C18" s="62" t="s">
        <v>43</v>
      </c>
      <c r="D18" s="62"/>
      <c r="E18" s="62"/>
      <c r="F18" s="62"/>
      <c r="G18" s="62"/>
      <c r="H18" s="62"/>
      <c r="I18" s="62" t="s">
        <v>721</v>
      </c>
      <c r="J18" s="62"/>
      <c r="K18" s="62"/>
      <c r="L18" s="62" t="s">
        <v>722</v>
      </c>
      <c r="M18" s="62"/>
      <c r="N18" s="62"/>
      <c r="O18" s="62"/>
      <c r="P18" s="63" t="s">
        <v>40</v>
      </c>
      <c r="Q18" s="63" t="s">
        <v>93</v>
      </c>
      <c r="R18" s="63">
        <v>37.78</v>
      </c>
      <c r="S18" s="63">
        <v>18.89</v>
      </c>
      <c r="T18" s="63">
        <v>3.05</v>
      </c>
      <c r="U18" s="65">
        <f t="shared" si="0"/>
        <v>16.146109052408679</v>
      </c>
    </row>
    <row r="19" spans="1:21" ht="75" customHeight="1">
      <c r="A19" s="56"/>
      <c r="B19" s="61" t="s">
        <v>43</v>
      </c>
      <c r="C19" s="62" t="s">
        <v>43</v>
      </c>
      <c r="D19" s="62"/>
      <c r="E19" s="62"/>
      <c r="F19" s="62"/>
      <c r="G19" s="62"/>
      <c r="H19" s="62"/>
      <c r="I19" s="62" t="s">
        <v>723</v>
      </c>
      <c r="J19" s="62"/>
      <c r="K19" s="62"/>
      <c r="L19" s="62" t="s">
        <v>724</v>
      </c>
      <c r="M19" s="62"/>
      <c r="N19" s="62"/>
      <c r="O19" s="62"/>
      <c r="P19" s="63" t="s">
        <v>40</v>
      </c>
      <c r="Q19" s="63" t="s">
        <v>93</v>
      </c>
      <c r="R19" s="63">
        <v>5.73</v>
      </c>
      <c r="S19" s="63">
        <v>1.43</v>
      </c>
      <c r="T19" s="63">
        <v>2.65</v>
      </c>
      <c r="U19" s="65">
        <f t="shared" si="0"/>
        <v>185.31468531468531</v>
      </c>
    </row>
    <row r="20" spans="1:21" ht="75" customHeight="1">
      <c r="A20" s="56"/>
      <c r="B20" s="61" t="s">
        <v>43</v>
      </c>
      <c r="C20" s="62" t="s">
        <v>43</v>
      </c>
      <c r="D20" s="62"/>
      <c r="E20" s="62"/>
      <c r="F20" s="62"/>
      <c r="G20" s="62"/>
      <c r="H20" s="62"/>
      <c r="I20" s="62" t="s">
        <v>725</v>
      </c>
      <c r="J20" s="62"/>
      <c r="K20" s="62"/>
      <c r="L20" s="62" t="s">
        <v>726</v>
      </c>
      <c r="M20" s="62"/>
      <c r="N20" s="62"/>
      <c r="O20" s="62"/>
      <c r="P20" s="63" t="s">
        <v>40</v>
      </c>
      <c r="Q20" s="63" t="s">
        <v>41</v>
      </c>
      <c r="R20" s="63">
        <v>31.98</v>
      </c>
      <c r="S20" s="63" t="s">
        <v>42</v>
      </c>
      <c r="T20" s="63" t="s">
        <v>42</v>
      </c>
      <c r="U20" s="65" t="str">
        <f>IF(ISERR((S20-T20)*100/S20+100),"N/A",(S20-T20)*100/S20+100)</f>
        <v>N/A</v>
      </c>
    </row>
    <row r="21" spans="1:21" ht="75" customHeight="1">
      <c r="A21" s="56"/>
      <c r="B21" s="61" t="s">
        <v>43</v>
      </c>
      <c r="C21" s="62" t="s">
        <v>43</v>
      </c>
      <c r="D21" s="62"/>
      <c r="E21" s="62"/>
      <c r="F21" s="62"/>
      <c r="G21" s="62"/>
      <c r="H21" s="62"/>
      <c r="I21" s="62" t="s">
        <v>727</v>
      </c>
      <c r="J21" s="62"/>
      <c r="K21" s="62"/>
      <c r="L21" s="62" t="s">
        <v>728</v>
      </c>
      <c r="M21" s="62"/>
      <c r="N21" s="62"/>
      <c r="O21" s="62"/>
      <c r="P21" s="63" t="s">
        <v>40</v>
      </c>
      <c r="Q21" s="63" t="s">
        <v>93</v>
      </c>
      <c r="R21" s="63">
        <v>1.3</v>
      </c>
      <c r="S21" s="63">
        <v>0.13</v>
      </c>
      <c r="T21" s="63">
        <v>0</v>
      </c>
      <c r="U21" s="65">
        <f t="shared" ref="U21:U32" si="1">IF(ISERR(T21/S21*100),"N/A",T21/S21*100)</f>
        <v>0</v>
      </c>
    </row>
    <row r="22" spans="1:21" ht="75" customHeight="1">
      <c r="A22" s="56"/>
      <c r="B22" s="61" t="s">
        <v>43</v>
      </c>
      <c r="C22" s="62" t="s">
        <v>729</v>
      </c>
      <c r="D22" s="62"/>
      <c r="E22" s="62"/>
      <c r="F22" s="62"/>
      <c r="G22" s="62"/>
      <c r="H22" s="62"/>
      <c r="I22" s="62" t="s">
        <v>730</v>
      </c>
      <c r="J22" s="62"/>
      <c r="K22" s="62"/>
      <c r="L22" s="62" t="s">
        <v>731</v>
      </c>
      <c r="M22" s="62"/>
      <c r="N22" s="62"/>
      <c r="O22" s="62"/>
      <c r="P22" s="63" t="s">
        <v>40</v>
      </c>
      <c r="Q22" s="63" t="s">
        <v>41</v>
      </c>
      <c r="R22" s="63">
        <v>59.33</v>
      </c>
      <c r="S22" s="63" t="s">
        <v>42</v>
      </c>
      <c r="T22" s="63" t="s">
        <v>42</v>
      </c>
      <c r="U22" s="65" t="str">
        <f t="shared" si="1"/>
        <v>N/A</v>
      </c>
    </row>
    <row r="23" spans="1:21" ht="75" customHeight="1" thickBot="1">
      <c r="A23" s="56"/>
      <c r="B23" s="61" t="s">
        <v>43</v>
      </c>
      <c r="C23" s="62" t="s">
        <v>43</v>
      </c>
      <c r="D23" s="62"/>
      <c r="E23" s="62"/>
      <c r="F23" s="62"/>
      <c r="G23" s="62"/>
      <c r="H23" s="62"/>
      <c r="I23" s="62" t="s">
        <v>732</v>
      </c>
      <c r="J23" s="62"/>
      <c r="K23" s="62"/>
      <c r="L23" s="62" t="s">
        <v>733</v>
      </c>
      <c r="M23" s="62"/>
      <c r="N23" s="62"/>
      <c r="O23" s="62"/>
      <c r="P23" s="63" t="s">
        <v>40</v>
      </c>
      <c r="Q23" s="63" t="s">
        <v>55</v>
      </c>
      <c r="R23" s="63">
        <v>82.71</v>
      </c>
      <c r="S23" s="63">
        <v>62.57</v>
      </c>
      <c r="T23" s="63">
        <v>69.36</v>
      </c>
      <c r="U23" s="65">
        <f t="shared" si="1"/>
        <v>110.85184593255552</v>
      </c>
    </row>
    <row r="24" spans="1:21" ht="75" customHeight="1" thickTop="1">
      <c r="A24" s="56"/>
      <c r="B24" s="57" t="s">
        <v>56</v>
      </c>
      <c r="C24" s="58" t="s">
        <v>734</v>
      </c>
      <c r="D24" s="58"/>
      <c r="E24" s="58"/>
      <c r="F24" s="58"/>
      <c r="G24" s="58"/>
      <c r="H24" s="58"/>
      <c r="I24" s="58" t="s">
        <v>735</v>
      </c>
      <c r="J24" s="58"/>
      <c r="K24" s="58"/>
      <c r="L24" s="58" t="s">
        <v>736</v>
      </c>
      <c r="M24" s="58"/>
      <c r="N24" s="58"/>
      <c r="O24" s="58"/>
      <c r="P24" s="59" t="s">
        <v>40</v>
      </c>
      <c r="Q24" s="59" t="s">
        <v>60</v>
      </c>
      <c r="R24" s="59">
        <v>96.97</v>
      </c>
      <c r="S24" s="59">
        <v>65.45</v>
      </c>
      <c r="T24" s="59">
        <v>93.48</v>
      </c>
      <c r="U24" s="60">
        <f t="shared" si="1"/>
        <v>142.82658517952635</v>
      </c>
    </row>
    <row r="25" spans="1:21" ht="75" customHeight="1">
      <c r="A25" s="56"/>
      <c r="B25" s="61" t="s">
        <v>43</v>
      </c>
      <c r="C25" s="62" t="s">
        <v>737</v>
      </c>
      <c r="D25" s="62"/>
      <c r="E25" s="62"/>
      <c r="F25" s="62"/>
      <c r="G25" s="62"/>
      <c r="H25" s="62"/>
      <c r="I25" s="62" t="s">
        <v>738</v>
      </c>
      <c r="J25" s="62"/>
      <c r="K25" s="62"/>
      <c r="L25" s="62" t="s">
        <v>739</v>
      </c>
      <c r="M25" s="62"/>
      <c r="N25" s="62"/>
      <c r="O25" s="62"/>
      <c r="P25" s="63" t="s">
        <v>40</v>
      </c>
      <c r="Q25" s="63" t="s">
        <v>60</v>
      </c>
      <c r="R25" s="63">
        <v>95.2</v>
      </c>
      <c r="S25" s="63">
        <v>70.510000000000005</v>
      </c>
      <c r="T25" s="63">
        <v>74.56</v>
      </c>
      <c r="U25" s="65">
        <f t="shared" si="1"/>
        <v>105.74386611828108</v>
      </c>
    </row>
    <row r="26" spans="1:21" ht="75" customHeight="1">
      <c r="A26" s="56"/>
      <c r="B26" s="61" t="s">
        <v>43</v>
      </c>
      <c r="C26" s="62" t="s">
        <v>740</v>
      </c>
      <c r="D26" s="62"/>
      <c r="E26" s="62"/>
      <c r="F26" s="62"/>
      <c r="G26" s="62"/>
      <c r="H26" s="62"/>
      <c r="I26" s="62" t="s">
        <v>741</v>
      </c>
      <c r="J26" s="62"/>
      <c r="K26" s="62"/>
      <c r="L26" s="62" t="s">
        <v>742</v>
      </c>
      <c r="M26" s="62"/>
      <c r="N26" s="62"/>
      <c r="O26" s="62"/>
      <c r="P26" s="63" t="s">
        <v>40</v>
      </c>
      <c r="Q26" s="63" t="s">
        <v>60</v>
      </c>
      <c r="R26" s="63">
        <v>49.67</v>
      </c>
      <c r="S26" s="63">
        <v>37.25</v>
      </c>
      <c r="T26" s="63">
        <v>45.47</v>
      </c>
      <c r="U26" s="65">
        <f t="shared" si="1"/>
        <v>122.06711409395974</v>
      </c>
    </row>
    <row r="27" spans="1:21" ht="75" customHeight="1">
      <c r="A27" s="56"/>
      <c r="B27" s="61" t="s">
        <v>43</v>
      </c>
      <c r="C27" s="62" t="s">
        <v>743</v>
      </c>
      <c r="D27" s="62"/>
      <c r="E27" s="62"/>
      <c r="F27" s="62"/>
      <c r="G27" s="62"/>
      <c r="H27" s="62"/>
      <c r="I27" s="62" t="s">
        <v>744</v>
      </c>
      <c r="J27" s="62"/>
      <c r="K27" s="62"/>
      <c r="L27" s="62" t="s">
        <v>745</v>
      </c>
      <c r="M27" s="62"/>
      <c r="N27" s="62"/>
      <c r="O27" s="62"/>
      <c r="P27" s="63" t="s">
        <v>40</v>
      </c>
      <c r="Q27" s="63" t="s">
        <v>60</v>
      </c>
      <c r="R27" s="63">
        <v>72.739999999999995</v>
      </c>
      <c r="S27" s="63">
        <v>76.510000000000005</v>
      </c>
      <c r="T27" s="63">
        <v>72.739999999999995</v>
      </c>
      <c r="U27" s="65">
        <f t="shared" si="1"/>
        <v>95.072539537315365</v>
      </c>
    </row>
    <row r="28" spans="1:21" ht="75" customHeight="1">
      <c r="A28" s="56"/>
      <c r="B28" s="61" t="s">
        <v>43</v>
      </c>
      <c r="C28" s="62" t="s">
        <v>746</v>
      </c>
      <c r="D28" s="62"/>
      <c r="E28" s="62"/>
      <c r="F28" s="62"/>
      <c r="G28" s="62"/>
      <c r="H28" s="62"/>
      <c r="I28" s="62" t="s">
        <v>747</v>
      </c>
      <c r="J28" s="62"/>
      <c r="K28" s="62"/>
      <c r="L28" s="62" t="s">
        <v>748</v>
      </c>
      <c r="M28" s="62"/>
      <c r="N28" s="62"/>
      <c r="O28" s="62"/>
      <c r="P28" s="63" t="s">
        <v>40</v>
      </c>
      <c r="Q28" s="63" t="s">
        <v>60</v>
      </c>
      <c r="R28" s="63">
        <v>87.04</v>
      </c>
      <c r="S28" s="63">
        <v>78.180000000000007</v>
      </c>
      <c r="T28" s="63">
        <v>86.96</v>
      </c>
      <c r="U28" s="65">
        <f t="shared" si="1"/>
        <v>111.23049373241236</v>
      </c>
    </row>
    <row r="29" spans="1:21" ht="75" customHeight="1">
      <c r="A29" s="56"/>
      <c r="B29" s="61" t="s">
        <v>43</v>
      </c>
      <c r="C29" s="62" t="s">
        <v>749</v>
      </c>
      <c r="D29" s="62"/>
      <c r="E29" s="62"/>
      <c r="F29" s="62"/>
      <c r="G29" s="62"/>
      <c r="H29" s="62"/>
      <c r="I29" s="62" t="s">
        <v>750</v>
      </c>
      <c r="J29" s="62"/>
      <c r="K29" s="62"/>
      <c r="L29" s="62" t="s">
        <v>751</v>
      </c>
      <c r="M29" s="62"/>
      <c r="N29" s="62"/>
      <c r="O29" s="62"/>
      <c r="P29" s="63" t="s">
        <v>40</v>
      </c>
      <c r="Q29" s="63" t="s">
        <v>60</v>
      </c>
      <c r="R29" s="63">
        <v>80</v>
      </c>
      <c r="S29" s="63">
        <v>56.25</v>
      </c>
      <c r="T29" s="63">
        <v>78.75</v>
      </c>
      <c r="U29" s="65">
        <f t="shared" si="1"/>
        <v>140</v>
      </c>
    </row>
    <row r="30" spans="1:21" ht="75" customHeight="1">
      <c r="A30" s="56"/>
      <c r="B30" s="61" t="s">
        <v>43</v>
      </c>
      <c r="C30" s="62" t="s">
        <v>752</v>
      </c>
      <c r="D30" s="62"/>
      <c r="E30" s="62"/>
      <c r="F30" s="62"/>
      <c r="G30" s="62"/>
      <c r="H30" s="62"/>
      <c r="I30" s="62" t="s">
        <v>753</v>
      </c>
      <c r="J30" s="62"/>
      <c r="K30" s="62"/>
      <c r="L30" s="62" t="s">
        <v>754</v>
      </c>
      <c r="M30" s="62"/>
      <c r="N30" s="62"/>
      <c r="O30" s="62"/>
      <c r="P30" s="63" t="s">
        <v>40</v>
      </c>
      <c r="Q30" s="63" t="s">
        <v>60</v>
      </c>
      <c r="R30" s="63">
        <v>47.94</v>
      </c>
      <c r="S30" s="63">
        <v>37.29</v>
      </c>
      <c r="T30" s="63">
        <v>40.299999999999997</v>
      </c>
      <c r="U30" s="65">
        <f t="shared" si="1"/>
        <v>108.07186913381604</v>
      </c>
    </row>
    <row r="31" spans="1:21" ht="75" customHeight="1">
      <c r="A31" s="56"/>
      <c r="B31" s="61" t="s">
        <v>43</v>
      </c>
      <c r="C31" s="62" t="s">
        <v>755</v>
      </c>
      <c r="D31" s="62"/>
      <c r="E31" s="62"/>
      <c r="F31" s="62"/>
      <c r="G31" s="62"/>
      <c r="H31" s="62"/>
      <c r="I31" s="62" t="s">
        <v>756</v>
      </c>
      <c r="J31" s="62"/>
      <c r="K31" s="62"/>
      <c r="L31" s="62" t="s">
        <v>757</v>
      </c>
      <c r="M31" s="62"/>
      <c r="N31" s="62"/>
      <c r="O31" s="62"/>
      <c r="P31" s="63" t="s">
        <v>40</v>
      </c>
      <c r="Q31" s="63" t="s">
        <v>60</v>
      </c>
      <c r="R31" s="63">
        <v>70.31</v>
      </c>
      <c r="S31" s="63">
        <v>54.69</v>
      </c>
      <c r="T31" s="63">
        <v>64.06</v>
      </c>
      <c r="U31" s="65">
        <f t="shared" si="1"/>
        <v>117.13293106600841</v>
      </c>
    </row>
    <row r="32" spans="1:21" ht="75" customHeight="1" thickBot="1">
      <c r="A32" s="56"/>
      <c r="B32" s="61" t="s">
        <v>43</v>
      </c>
      <c r="C32" s="62" t="s">
        <v>758</v>
      </c>
      <c r="D32" s="62"/>
      <c r="E32" s="62"/>
      <c r="F32" s="62"/>
      <c r="G32" s="62"/>
      <c r="H32" s="62"/>
      <c r="I32" s="62" t="s">
        <v>759</v>
      </c>
      <c r="J32" s="62"/>
      <c r="K32" s="62"/>
      <c r="L32" s="62" t="s">
        <v>760</v>
      </c>
      <c r="M32" s="62"/>
      <c r="N32" s="62"/>
      <c r="O32" s="62"/>
      <c r="P32" s="63" t="s">
        <v>40</v>
      </c>
      <c r="Q32" s="63" t="s">
        <v>60</v>
      </c>
      <c r="R32" s="63">
        <v>87.5</v>
      </c>
      <c r="S32" s="63">
        <v>67.27</v>
      </c>
      <c r="T32" s="63">
        <v>73.55</v>
      </c>
      <c r="U32" s="65">
        <f t="shared" si="1"/>
        <v>109.33551360190279</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9748.774399</f>
        <v>9748.7743989999999</v>
      </c>
      <c r="S36" s="84">
        <f>7102.103815</f>
        <v>7102.1038150000004</v>
      </c>
      <c r="T36" s="84">
        <f>4944.33330234</f>
        <v>4944.33330234</v>
      </c>
      <c r="U36" s="85">
        <f>+IF(ISERR(T36/S36*100),"N/A",T36/S36*100)</f>
        <v>69.617868608134387</v>
      </c>
    </row>
    <row r="37" spans="2:22" ht="13.5" customHeight="1" thickBot="1">
      <c r="B37" s="86" t="s">
        <v>69</v>
      </c>
      <c r="C37" s="87"/>
      <c r="D37" s="87"/>
      <c r="E37" s="88"/>
      <c r="F37" s="88"/>
      <c r="G37" s="88"/>
      <c r="H37" s="89"/>
      <c r="I37" s="89"/>
      <c r="J37" s="89"/>
      <c r="K37" s="89"/>
      <c r="L37" s="89"/>
      <c r="M37" s="89"/>
      <c r="N37" s="89"/>
      <c r="O37" s="89"/>
      <c r="P37" s="90"/>
      <c r="Q37" s="90"/>
      <c r="R37" s="84">
        <f>6544.95270531</f>
        <v>6544.9527053100001</v>
      </c>
      <c r="S37" s="84">
        <f>5763.67691042</f>
        <v>5763.6769104200002</v>
      </c>
      <c r="T37" s="84">
        <f>4944.33330234</f>
        <v>4944.33330234</v>
      </c>
      <c r="U37" s="85">
        <f>+IF(ISERR(T37/S37*100),"N/A",T37/S37*100)</f>
        <v>85.784359171855556</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761</v>
      </c>
      <c r="C40" s="96"/>
      <c r="D40" s="96"/>
      <c r="E40" s="96"/>
      <c r="F40" s="96"/>
      <c r="G40" s="96"/>
      <c r="H40" s="96"/>
      <c r="I40" s="96"/>
      <c r="J40" s="96"/>
      <c r="K40" s="96"/>
      <c r="L40" s="96"/>
      <c r="M40" s="96"/>
      <c r="N40" s="96"/>
      <c r="O40" s="96"/>
      <c r="P40" s="96"/>
      <c r="Q40" s="96"/>
      <c r="R40" s="96"/>
      <c r="S40" s="96"/>
      <c r="T40" s="96"/>
      <c r="U40" s="95"/>
    </row>
    <row r="41" spans="2:22" ht="34.5" customHeight="1">
      <c r="B41" s="94" t="s">
        <v>762</v>
      </c>
      <c r="C41" s="96"/>
      <c r="D41" s="96"/>
      <c r="E41" s="96"/>
      <c r="F41" s="96"/>
      <c r="G41" s="96"/>
      <c r="H41" s="96"/>
      <c r="I41" s="96"/>
      <c r="J41" s="96"/>
      <c r="K41" s="96"/>
      <c r="L41" s="96"/>
      <c r="M41" s="96"/>
      <c r="N41" s="96"/>
      <c r="O41" s="96"/>
      <c r="P41" s="96"/>
      <c r="Q41" s="96"/>
      <c r="R41" s="96"/>
      <c r="S41" s="96"/>
      <c r="T41" s="96"/>
      <c r="U41" s="95"/>
    </row>
    <row r="42" spans="2:22" ht="34.5" customHeight="1">
      <c r="B42" s="94" t="s">
        <v>763</v>
      </c>
      <c r="C42" s="96"/>
      <c r="D42" s="96"/>
      <c r="E42" s="96"/>
      <c r="F42" s="96"/>
      <c r="G42" s="96"/>
      <c r="H42" s="96"/>
      <c r="I42" s="96"/>
      <c r="J42" s="96"/>
      <c r="K42" s="96"/>
      <c r="L42" s="96"/>
      <c r="M42" s="96"/>
      <c r="N42" s="96"/>
      <c r="O42" s="96"/>
      <c r="P42" s="96"/>
      <c r="Q42" s="96"/>
      <c r="R42" s="96"/>
      <c r="S42" s="96"/>
      <c r="T42" s="96"/>
      <c r="U42" s="95"/>
    </row>
    <row r="43" spans="2:22" ht="34.5" customHeight="1">
      <c r="B43" s="94" t="s">
        <v>764</v>
      </c>
      <c r="C43" s="96"/>
      <c r="D43" s="96"/>
      <c r="E43" s="96"/>
      <c r="F43" s="96"/>
      <c r="G43" s="96"/>
      <c r="H43" s="96"/>
      <c r="I43" s="96"/>
      <c r="J43" s="96"/>
      <c r="K43" s="96"/>
      <c r="L43" s="96"/>
      <c r="M43" s="96"/>
      <c r="N43" s="96"/>
      <c r="O43" s="96"/>
      <c r="P43" s="96"/>
      <c r="Q43" s="96"/>
      <c r="R43" s="96"/>
      <c r="S43" s="96"/>
      <c r="T43" s="96"/>
      <c r="U43" s="95"/>
    </row>
    <row r="44" spans="2:22" ht="34.5" customHeight="1">
      <c r="B44" s="94" t="s">
        <v>765</v>
      </c>
      <c r="C44" s="96"/>
      <c r="D44" s="96"/>
      <c r="E44" s="96"/>
      <c r="F44" s="96"/>
      <c r="G44" s="96"/>
      <c r="H44" s="96"/>
      <c r="I44" s="96"/>
      <c r="J44" s="96"/>
      <c r="K44" s="96"/>
      <c r="L44" s="96"/>
      <c r="M44" s="96"/>
      <c r="N44" s="96"/>
      <c r="O44" s="96"/>
      <c r="P44" s="96"/>
      <c r="Q44" s="96"/>
      <c r="R44" s="96"/>
      <c r="S44" s="96"/>
      <c r="T44" s="96"/>
      <c r="U44" s="95"/>
    </row>
    <row r="45" spans="2:22" ht="34.5" customHeight="1">
      <c r="B45" s="94" t="s">
        <v>766</v>
      </c>
      <c r="C45" s="96"/>
      <c r="D45" s="96"/>
      <c r="E45" s="96"/>
      <c r="F45" s="96"/>
      <c r="G45" s="96"/>
      <c r="H45" s="96"/>
      <c r="I45" s="96"/>
      <c r="J45" s="96"/>
      <c r="K45" s="96"/>
      <c r="L45" s="96"/>
      <c r="M45" s="96"/>
      <c r="N45" s="96"/>
      <c r="O45" s="96"/>
      <c r="P45" s="96"/>
      <c r="Q45" s="96"/>
      <c r="R45" s="96"/>
      <c r="S45" s="96"/>
      <c r="T45" s="96"/>
      <c r="U45" s="95"/>
    </row>
    <row r="46" spans="2:22" ht="53.85" customHeight="1">
      <c r="B46" s="94" t="s">
        <v>767</v>
      </c>
      <c r="C46" s="96"/>
      <c r="D46" s="96"/>
      <c r="E46" s="96"/>
      <c r="F46" s="96"/>
      <c r="G46" s="96"/>
      <c r="H46" s="96"/>
      <c r="I46" s="96"/>
      <c r="J46" s="96"/>
      <c r="K46" s="96"/>
      <c r="L46" s="96"/>
      <c r="M46" s="96"/>
      <c r="N46" s="96"/>
      <c r="O46" s="96"/>
      <c r="P46" s="96"/>
      <c r="Q46" s="96"/>
      <c r="R46" s="96"/>
      <c r="S46" s="96"/>
      <c r="T46" s="96"/>
      <c r="U46" s="95"/>
    </row>
    <row r="47" spans="2:22" ht="54.2" customHeight="1">
      <c r="B47" s="94" t="s">
        <v>768</v>
      </c>
      <c r="C47" s="96"/>
      <c r="D47" s="96"/>
      <c r="E47" s="96"/>
      <c r="F47" s="96"/>
      <c r="G47" s="96"/>
      <c r="H47" s="96"/>
      <c r="I47" s="96"/>
      <c r="J47" s="96"/>
      <c r="K47" s="96"/>
      <c r="L47" s="96"/>
      <c r="M47" s="96"/>
      <c r="N47" s="96"/>
      <c r="O47" s="96"/>
      <c r="P47" s="96"/>
      <c r="Q47" s="96"/>
      <c r="R47" s="96"/>
      <c r="S47" s="96"/>
      <c r="T47" s="96"/>
      <c r="U47" s="95"/>
    </row>
    <row r="48" spans="2:22" ht="50.45" customHeight="1">
      <c r="B48" s="94" t="s">
        <v>769</v>
      </c>
      <c r="C48" s="96"/>
      <c r="D48" s="96"/>
      <c r="E48" s="96"/>
      <c r="F48" s="96"/>
      <c r="G48" s="96"/>
      <c r="H48" s="96"/>
      <c r="I48" s="96"/>
      <c r="J48" s="96"/>
      <c r="K48" s="96"/>
      <c r="L48" s="96"/>
      <c r="M48" s="96"/>
      <c r="N48" s="96"/>
      <c r="O48" s="96"/>
      <c r="P48" s="96"/>
      <c r="Q48" s="96"/>
      <c r="R48" s="96"/>
      <c r="S48" s="96"/>
      <c r="T48" s="96"/>
      <c r="U48" s="95"/>
    </row>
    <row r="49" spans="2:21" ht="18.95" customHeight="1">
      <c r="B49" s="94" t="s">
        <v>770</v>
      </c>
      <c r="C49" s="96"/>
      <c r="D49" s="96"/>
      <c r="E49" s="96"/>
      <c r="F49" s="96"/>
      <c r="G49" s="96"/>
      <c r="H49" s="96"/>
      <c r="I49" s="96"/>
      <c r="J49" s="96"/>
      <c r="K49" s="96"/>
      <c r="L49" s="96"/>
      <c r="M49" s="96"/>
      <c r="N49" s="96"/>
      <c r="O49" s="96"/>
      <c r="P49" s="96"/>
      <c r="Q49" s="96"/>
      <c r="R49" s="96"/>
      <c r="S49" s="96"/>
      <c r="T49" s="96"/>
      <c r="U49" s="95"/>
    </row>
    <row r="50" spans="2:21" ht="93.75" customHeight="1">
      <c r="B50" s="94" t="s">
        <v>771</v>
      </c>
      <c r="C50" s="96"/>
      <c r="D50" s="96"/>
      <c r="E50" s="96"/>
      <c r="F50" s="96"/>
      <c r="G50" s="96"/>
      <c r="H50" s="96"/>
      <c r="I50" s="96"/>
      <c r="J50" s="96"/>
      <c r="K50" s="96"/>
      <c r="L50" s="96"/>
      <c r="M50" s="96"/>
      <c r="N50" s="96"/>
      <c r="O50" s="96"/>
      <c r="P50" s="96"/>
      <c r="Q50" s="96"/>
      <c r="R50" s="96"/>
      <c r="S50" s="96"/>
      <c r="T50" s="96"/>
      <c r="U50" s="95"/>
    </row>
    <row r="51" spans="2:21" ht="34.5" customHeight="1">
      <c r="B51" s="94" t="s">
        <v>772</v>
      </c>
      <c r="C51" s="96"/>
      <c r="D51" s="96"/>
      <c r="E51" s="96"/>
      <c r="F51" s="96"/>
      <c r="G51" s="96"/>
      <c r="H51" s="96"/>
      <c r="I51" s="96"/>
      <c r="J51" s="96"/>
      <c r="K51" s="96"/>
      <c r="L51" s="96"/>
      <c r="M51" s="96"/>
      <c r="N51" s="96"/>
      <c r="O51" s="96"/>
      <c r="P51" s="96"/>
      <c r="Q51" s="96"/>
      <c r="R51" s="96"/>
      <c r="S51" s="96"/>
      <c r="T51" s="96"/>
      <c r="U51" s="95"/>
    </row>
    <row r="52" spans="2:21" ht="45.75" customHeight="1">
      <c r="B52" s="94" t="s">
        <v>773</v>
      </c>
      <c r="C52" s="96"/>
      <c r="D52" s="96"/>
      <c r="E52" s="96"/>
      <c r="F52" s="96"/>
      <c r="G52" s="96"/>
      <c r="H52" s="96"/>
      <c r="I52" s="96"/>
      <c r="J52" s="96"/>
      <c r="K52" s="96"/>
      <c r="L52" s="96"/>
      <c r="M52" s="96"/>
      <c r="N52" s="96"/>
      <c r="O52" s="96"/>
      <c r="P52" s="96"/>
      <c r="Q52" s="96"/>
      <c r="R52" s="96"/>
      <c r="S52" s="96"/>
      <c r="T52" s="96"/>
      <c r="U52" s="95"/>
    </row>
    <row r="53" spans="2:21" ht="70.5" customHeight="1">
      <c r="B53" s="94" t="s">
        <v>774</v>
      </c>
      <c r="C53" s="96"/>
      <c r="D53" s="96"/>
      <c r="E53" s="96"/>
      <c r="F53" s="96"/>
      <c r="G53" s="96"/>
      <c r="H53" s="96"/>
      <c r="I53" s="96"/>
      <c r="J53" s="96"/>
      <c r="K53" s="96"/>
      <c r="L53" s="96"/>
      <c r="M53" s="96"/>
      <c r="N53" s="96"/>
      <c r="O53" s="96"/>
      <c r="P53" s="96"/>
      <c r="Q53" s="96"/>
      <c r="R53" s="96"/>
      <c r="S53" s="96"/>
      <c r="T53" s="96"/>
      <c r="U53" s="95"/>
    </row>
    <row r="54" spans="2:21" ht="69.2" customHeight="1">
      <c r="B54" s="94" t="s">
        <v>775</v>
      </c>
      <c r="C54" s="96"/>
      <c r="D54" s="96"/>
      <c r="E54" s="96"/>
      <c r="F54" s="96"/>
      <c r="G54" s="96"/>
      <c r="H54" s="96"/>
      <c r="I54" s="96"/>
      <c r="J54" s="96"/>
      <c r="K54" s="96"/>
      <c r="L54" s="96"/>
      <c r="M54" s="96"/>
      <c r="N54" s="96"/>
      <c r="O54" s="96"/>
      <c r="P54" s="96"/>
      <c r="Q54" s="96"/>
      <c r="R54" s="96"/>
      <c r="S54" s="96"/>
      <c r="T54" s="96"/>
      <c r="U54" s="95"/>
    </row>
    <row r="55" spans="2:21" ht="48.75" customHeight="1">
      <c r="B55" s="94" t="s">
        <v>776</v>
      </c>
      <c r="C55" s="96"/>
      <c r="D55" s="96"/>
      <c r="E55" s="96"/>
      <c r="F55" s="96"/>
      <c r="G55" s="96"/>
      <c r="H55" s="96"/>
      <c r="I55" s="96"/>
      <c r="J55" s="96"/>
      <c r="K55" s="96"/>
      <c r="L55" s="96"/>
      <c r="M55" s="96"/>
      <c r="N55" s="96"/>
      <c r="O55" s="96"/>
      <c r="P55" s="96"/>
      <c r="Q55" s="96"/>
      <c r="R55" s="96"/>
      <c r="S55" s="96"/>
      <c r="T55" s="96"/>
      <c r="U55" s="95"/>
    </row>
    <row r="56" spans="2:21" ht="67.349999999999994" customHeight="1">
      <c r="B56" s="94" t="s">
        <v>777</v>
      </c>
      <c r="C56" s="96"/>
      <c r="D56" s="96"/>
      <c r="E56" s="96"/>
      <c r="F56" s="96"/>
      <c r="G56" s="96"/>
      <c r="H56" s="96"/>
      <c r="I56" s="96"/>
      <c r="J56" s="96"/>
      <c r="K56" s="96"/>
      <c r="L56" s="96"/>
      <c r="M56" s="96"/>
      <c r="N56" s="96"/>
      <c r="O56" s="96"/>
      <c r="P56" s="96"/>
      <c r="Q56" s="96"/>
      <c r="R56" s="96"/>
      <c r="S56" s="96"/>
      <c r="T56" s="96"/>
      <c r="U56" s="95"/>
    </row>
    <row r="57" spans="2:21" ht="71.849999999999994" customHeight="1">
      <c r="B57" s="94" t="s">
        <v>778</v>
      </c>
      <c r="C57" s="96"/>
      <c r="D57" s="96"/>
      <c r="E57" s="96"/>
      <c r="F57" s="96"/>
      <c r="G57" s="96"/>
      <c r="H57" s="96"/>
      <c r="I57" s="96"/>
      <c r="J57" s="96"/>
      <c r="K57" s="96"/>
      <c r="L57" s="96"/>
      <c r="M57" s="96"/>
      <c r="N57" s="96"/>
      <c r="O57" s="96"/>
      <c r="P57" s="96"/>
      <c r="Q57" s="96"/>
      <c r="R57" s="96"/>
      <c r="S57" s="96"/>
      <c r="T57" s="96"/>
      <c r="U57" s="95"/>
    </row>
    <row r="58" spans="2:21" ht="45.2" customHeight="1">
      <c r="B58" s="94" t="s">
        <v>779</v>
      </c>
      <c r="C58" s="96"/>
      <c r="D58" s="96"/>
      <c r="E58" s="96"/>
      <c r="F58" s="96"/>
      <c r="G58" s="96"/>
      <c r="H58" s="96"/>
      <c r="I58" s="96"/>
      <c r="J58" s="96"/>
      <c r="K58" s="96"/>
      <c r="L58" s="96"/>
      <c r="M58" s="96"/>
      <c r="N58" s="96"/>
      <c r="O58" s="96"/>
      <c r="P58" s="96"/>
      <c r="Q58" s="96"/>
      <c r="R58" s="96"/>
      <c r="S58" s="96"/>
      <c r="T58" s="96"/>
      <c r="U58" s="95"/>
    </row>
    <row r="59" spans="2:21" ht="47.25" customHeight="1">
      <c r="B59" s="94" t="s">
        <v>780</v>
      </c>
      <c r="C59" s="96"/>
      <c r="D59" s="96"/>
      <c r="E59" s="96"/>
      <c r="F59" s="96"/>
      <c r="G59" s="96"/>
      <c r="H59" s="96"/>
      <c r="I59" s="96"/>
      <c r="J59" s="96"/>
      <c r="K59" s="96"/>
      <c r="L59" s="96"/>
      <c r="M59" s="96"/>
      <c r="N59" s="96"/>
      <c r="O59" s="96"/>
      <c r="P59" s="96"/>
      <c r="Q59" s="96"/>
      <c r="R59" s="96"/>
      <c r="S59" s="96"/>
      <c r="T59" s="96"/>
      <c r="U59" s="95"/>
    </row>
    <row r="60" spans="2:21" ht="35.85" customHeight="1">
      <c r="B60" s="94" t="s">
        <v>781</v>
      </c>
      <c r="C60" s="96"/>
      <c r="D60" s="96"/>
      <c r="E60" s="96"/>
      <c r="F60" s="96"/>
      <c r="G60" s="96"/>
      <c r="H60" s="96"/>
      <c r="I60" s="96"/>
      <c r="J60" s="96"/>
      <c r="K60" s="96"/>
      <c r="L60" s="96"/>
      <c r="M60" s="96"/>
      <c r="N60" s="96"/>
      <c r="O60" s="96"/>
      <c r="P60" s="96"/>
      <c r="Q60" s="96"/>
      <c r="R60" s="96"/>
      <c r="S60" s="96"/>
      <c r="T60" s="96"/>
      <c r="U60" s="95"/>
    </row>
    <row r="61" spans="2:21" ht="53.45" customHeight="1" thickBot="1">
      <c r="B61" s="97" t="s">
        <v>782</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I13" sqref="I13:K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783</v>
      </c>
      <c r="D4" s="15" t="s">
        <v>784</v>
      </c>
      <c r="E4" s="15"/>
      <c r="F4" s="15"/>
      <c r="G4" s="15"/>
      <c r="H4" s="15"/>
      <c r="I4" s="16"/>
      <c r="J4" s="17" t="s">
        <v>6</v>
      </c>
      <c r="K4" s="18" t="s">
        <v>7</v>
      </c>
      <c r="L4" s="19" t="s">
        <v>8</v>
      </c>
      <c r="M4" s="19"/>
      <c r="N4" s="19"/>
      <c r="O4" s="19"/>
      <c r="P4" s="17" t="s">
        <v>9</v>
      </c>
      <c r="Q4" s="19" t="s">
        <v>785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786</v>
      </c>
      <c r="D11" s="58"/>
      <c r="E11" s="58"/>
      <c r="F11" s="58"/>
      <c r="G11" s="58"/>
      <c r="H11" s="58"/>
      <c r="I11" s="58" t="s">
        <v>787</v>
      </c>
      <c r="J11" s="58"/>
      <c r="K11" s="58"/>
      <c r="L11" s="58" t="s">
        <v>788</v>
      </c>
      <c r="M11" s="58"/>
      <c r="N11" s="58"/>
      <c r="O11" s="58"/>
      <c r="P11" s="59" t="s">
        <v>789</v>
      </c>
      <c r="Q11" s="59" t="s">
        <v>41</v>
      </c>
      <c r="R11" s="100">
        <v>0.06</v>
      </c>
      <c r="S11" s="100" t="s">
        <v>42</v>
      </c>
      <c r="T11" s="100" t="s">
        <v>42</v>
      </c>
      <c r="U11" s="60" t="str">
        <f t="shared" ref="U11:U36" si="0">IF(ISERR(T11/S11*100),"N/A",T11/S11*100)</f>
        <v>N/A</v>
      </c>
    </row>
    <row r="12" spans="1:34" ht="75" customHeight="1">
      <c r="A12" s="56"/>
      <c r="B12" s="61" t="s">
        <v>43</v>
      </c>
      <c r="C12" s="62" t="s">
        <v>43</v>
      </c>
      <c r="D12" s="62"/>
      <c r="E12" s="62"/>
      <c r="F12" s="62"/>
      <c r="G12" s="62"/>
      <c r="H12" s="62"/>
      <c r="I12" s="62" t="s">
        <v>790</v>
      </c>
      <c r="J12" s="62"/>
      <c r="K12" s="62"/>
      <c r="L12" s="62" t="s">
        <v>791</v>
      </c>
      <c r="M12" s="62"/>
      <c r="N12" s="62"/>
      <c r="O12" s="62"/>
      <c r="P12" s="63" t="s">
        <v>789</v>
      </c>
      <c r="Q12" s="63" t="s">
        <v>41</v>
      </c>
      <c r="R12" s="64">
        <v>1</v>
      </c>
      <c r="S12" s="64" t="s">
        <v>42</v>
      </c>
      <c r="T12" s="64" t="s">
        <v>42</v>
      </c>
      <c r="U12" s="65" t="str">
        <f t="shared" si="0"/>
        <v>N/A</v>
      </c>
    </row>
    <row r="13" spans="1:34" ht="75" customHeight="1">
      <c r="A13" s="56"/>
      <c r="B13" s="61" t="s">
        <v>43</v>
      </c>
      <c r="C13" s="62" t="s">
        <v>43</v>
      </c>
      <c r="D13" s="62"/>
      <c r="E13" s="62"/>
      <c r="F13" s="62"/>
      <c r="G13" s="62"/>
      <c r="H13" s="62"/>
      <c r="I13" s="62" t="s">
        <v>1297</v>
      </c>
      <c r="J13" s="62"/>
      <c r="K13" s="62"/>
      <c r="L13" s="62" t="s">
        <v>792</v>
      </c>
      <c r="M13" s="62"/>
      <c r="N13" s="62"/>
      <c r="O13" s="62"/>
      <c r="P13" s="63" t="s">
        <v>40</v>
      </c>
      <c r="Q13" s="63" t="s">
        <v>41</v>
      </c>
      <c r="R13" s="64">
        <v>52</v>
      </c>
      <c r="S13" s="64" t="s">
        <v>42</v>
      </c>
      <c r="T13" s="64" t="s">
        <v>42</v>
      </c>
      <c r="U13" s="65" t="str">
        <f t="shared" si="0"/>
        <v>N/A</v>
      </c>
    </row>
    <row r="14" spans="1:34" ht="75" customHeight="1" thickBot="1">
      <c r="A14" s="56"/>
      <c r="B14" s="61" t="s">
        <v>43</v>
      </c>
      <c r="C14" s="62" t="s">
        <v>43</v>
      </c>
      <c r="D14" s="62"/>
      <c r="E14" s="62"/>
      <c r="F14" s="62"/>
      <c r="G14" s="62"/>
      <c r="H14" s="62"/>
      <c r="I14" s="62" t="s">
        <v>793</v>
      </c>
      <c r="J14" s="62"/>
      <c r="K14" s="62"/>
      <c r="L14" s="62" t="s">
        <v>794</v>
      </c>
      <c r="M14" s="62"/>
      <c r="N14" s="62"/>
      <c r="O14" s="62"/>
      <c r="P14" s="63" t="s">
        <v>40</v>
      </c>
      <c r="Q14" s="63" t="s">
        <v>41</v>
      </c>
      <c r="R14" s="63">
        <v>22</v>
      </c>
      <c r="S14" s="63" t="s">
        <v>42</v>
      </c>
      <c r="T14" s="63" t="s">
        <v>42</v>
      </c>
      <c r="U14" s="65" t="str">
        <f t="shared" si="0"/>
        <v>N/A</v>
      </c>
    </row>
    <row r="15" spans="1:34" ht="75" customHeight="1" thickTop="1">
      <c r="A15" s="56"/>
      <c r="B15" s="57" t="s">
        <v>46</v>
      </c>
      <c r="C15" s="58" t="s">
        <v>795</v>
      </c>
      <c r="D15" s="58"/>
      <c r="E15" s="58"/>
      <c r="F15" s="58"/>
      <c r="G15" s="58"/>
      <c r="H15" s="58"/>
      <c r="I15" s="58" t="s">
        <v>796</v>
      </c>
      <c r="J15" s="58"/>
      <c r="K15" s="58"/>
      <c r="L15" s="58" t="s">
        <v>797</v>
      </c>
      <c r="M15" s="58"/>
      <c r="N15" s="58"/>
      <c r="O15" s="58"/>
      <c r="P15" s="59" t="s">
        <v>40</v>
      </c>
      <c r="Q15" s="59" t="s">
        <v>41</v>
      </c>
      <c r="R15" s="59">
        <v>100</v>
      </c>
      <c r="S15" s="59" t="s">
        <v>42</v>
      </c>
      <c r="T15" s="59" t="s">
        <v>42</v>
      </c>
      <c r="U15" s="60" t="str">
        <f t="shared" si="0"/>
        <v>N/A</v>
      </c>
    </row>
    <row r="16" spans="1:34" ht="75" customHeight="1">
      <c r="A16" s="56"/>
      <c r="B16" s="61" t="s">
        <v>43</v>
      </c>
      <c r="C16" s="62" t="s">
        <v>43</v>
      </c>
      <c r="D16" s="62"/>
      <c r="E16" s="62"/>
      <c r="F16" s="62"/>
      <c r="G16" s="62"/>
      <c r="H16" s="62"/>
      <c r="I16" s="62" t="s">
        <v>798</v>
      </c>
      <c r="J16" s="62"/>
      <c r="K16" s="62"/>
      <c r="L16" s="62" t="s">
        <v>799</v>
      </c>
      <c r="M16" s="62"/>
      <c r="N16" s="62"/>
      <c r="O16" s="62"/>
      <c r="P16" s="63" t="s">
        <v>40</v>
      </c>
      <c r="Q16" s="63" t="s">
        <v>41</v>
      </c>
      <c r="R16" s="63">
        <v>8.84</v>
      </c>
      <c r="S16" s="63" t="s">
        <v>42</v>
      </c>
      <c r="T16" s="63" t="s">
        <v>42</v>
      </c>
      <c r="U16" s="65" t="str">
        <f t="shared" si="0"/>
        <v>N/A</v>
      </c>
    </row>
    <row r="17" spans="1:21" ht="75" customHeight="1">
      <c r="A17" s="56"/>
      <c r="B17" s="61" t="s">
        <v>43</v>
      </c>
      <c r="C17" s="62" t="s">
        <v>43</v>
      </c>
      <c r="D17" s="62"/>
      <c r="E17" s="62"/>
      <c r="F17" s="62"/>
      <c r="G17" s="62"/>
      <c r="H17" s="62"/>
      <c r="I17" s="62" t="s">
        <v>800</v>
      </c>
      <c r="J17" s="62"/>
      <c r="K17" s="62"/>
      <c r="L17" s="62" t="s">
        <v>801</v>
      </c>
      <c r="M17" s="62"/>
      <c r="N17" s="62"/>
      <c r="O17" s="62"/>
      <c r="P17" s="63" t="s">
        <v>40</v>
      </c>
      <c r="Q17" s="63" t="s">
        <v>41</v>
      </c>
      <c r="R17" s="63">
        <v>100</v>
      </c>
      <c r="S17" s="63" t="s">
        <v>42</v>
      </c>
      <c r="T17" s="63" t="s">
        <v>42</v>
      </c>
      <c r="U17" s="65" t="str">
        <f t="shared" si="0"/>
        <v>N/A</v>
      </c>
    </row>
    <row r="18" spans="1:21" ht="75" customHeight="1">
      <c r="A18" s="56"/>
      <c r="B18" s="61" t="s">
        <v>43</v>
      </c>
      <c r="C18" s="62" t="s">
        <v>43</v>
      </c>
      <c r="D18" s="62"/>
      <c r="E18" s="62"/>
      <c r="F18" s="62"/>
      <c r="G18" s="62"/>
      <c r="H18" s="62"/>
      <c r="I18" s="62" t="s">
        <v>802</v>
      </c>
      <c r="J18" s="62"/>
      <c r="K18" s="62"/>
      <c r="L18" s="62" t="s">
        <v>803</v>
      </c>
      <c r="M18" s="62"/>
      <c r="N18" s="62"/>
      <c r="O18" s="62"/>
      <c r="P18" s="63" t="s">
        <v>40</v>
      </c>
      <c r="Q18" s="63" t="s">
        <v>41</v>
      </c>
      <c r="R18" s="63">
        <v>2.5</v>
      </c>
      <c r="S18" s="63" t="s">
        <v>42</v>
      </c>
      <c r="T18" s="63" t="s">
        <v>42</v>
      </c>
      <c r="U18" s="65" t="str">
        <f t="shared" si="0"/>
        <v>N/A</v>
      </c>
    </row>
    <row r="19" spans="1:21" ht="75" customHeight="1" thickBot="1">
      <c r="A19" s="56"/>
      <c r="B19" s="61" t="s">
        <v>43</v>
      </c>
      <c r="C19" s="62" t="s">
        <v>43</v>
      </c>
      <c r="D19" s="62"/>
      <c r="E19" s="62"/>
      <c r="F19" s="62"/>
      <c r="G19" s="62"/>
      <c r="H19" s="62"/>
      <c r="I19" s="62" t="s">
        <v>804</v>
      </c>
      <c r="J19" s="62"/>
      <c r="K19" s="62"/>
      <c r="L19" s="62" t="s">
        <v>805</v>
      </c>
      <c r="M19" s="62"/>
      <c r="N19" s="62"/>
      <c r="O19" s="62"/>
      <c r="P19" s="63" t="s">
        <v>40</v>
      </c>
      <c r="Q19" s="63" t="s">
        <v>41</v>
      </c>
      <c r="R19" s="63">
        <v>27.98</v>
      </c>
      <c r="S19" s="63" t="s">
        <v>42</v>
      </c>
      <c r="T19" s="63" t="s">
        <v>42</v>
      </c>
      <c r="U19" s="65" t="str">
        <f t="shared" si="0"/>
        <v>N/A</v>
      </c>
    </row>
    <row r="20" spans="1:21" ht="75" customHeight="1" thickTop="1">
      <c r="A20" s="56"/>
      <c r="B20" s="57" t="s">
        <v>51</v>
      </c>
      <c r="C20" s="58" t="s">
        <v>806</v>
      </c>
      <c r="D20" s="58"/>
      <c r="E20" s="58"/>
      <c r="F20" s="58"/>
      <c r="G20" s="58"/>
      <c r="H20" s="58"/>
      <c r="I20" s="58" t="s">
        <v>807</v>
      </c>
      <c r="J20" s="58"/>
      <c r="K20" s="58"/>
      <c r="L20" s="58" t="s">
        <v>808</v>
      </c>
      <c r="M20" s="58"/>
      <c r="N20" s="58"/>
      <c r="O20" s="58"/>
      <c r="P20" s="59" t="s">
        <v>40</v>
      </c>
      <c r="Q20" s="59" t="s">
        <v>93</v>
      </c>
      <c r="R20" s="59">
        <v>86.11</v>
      </c>
      <c r="S20" s="59">
        <v>78.34</v>
      </c>
      <c r="T20" s="59">
        <v>78.69</v>
      </c>
      <c r="U20" s="60">
        <f t="shared" si="0"/>
        <v>100.44677048761808</v>
      </c>
    </row>
    <row r="21" spans="1:21" ht="75" customHeight="1">
      <c r="A21" s="56"/>
      <c r="B21" s="61" t="s">
        <v>43</v>
      </c>
      <c r="C21" s="62" t="s">
        <v>43</v>
      </c>
      <c r="D21" s="62"/>
      <c r="E21" s="62"/>
      <c r="F21" s="62"/>
      <c r="G21" s="62"/>
      <c r="H21" s="62"/>
      <c r="I21" s="62" t="s">
        <v>809</v>
      </c>
      <c r="J21" s="62"/>
      <c r="K21" s="62"/>
      <c r="L21" s="62" t="s">
        <v>810</v>
      </c>
      <c r="M21" s="62"/>
      <c r="N21" s="62"/>
      <c r="O21" s="62"/>
      <c r="P21" s="63" t="s">
        <v>40</v>
      </c>
      <c r="Q21" s="63" t="s">
        <v>93</v>
      </c>
      <c r="R21" s="63">
        <v>65.239999999999995</v>
      </c>
      <c r="S21" s="63">
        <v>31.44</v>
      </c>
      <c r="T21" s="63">
        <v>32.57</v>
      </c>
      <c r="U21" s="65">
        <f t="shared" si="0"/>
        <v>103.5941475826972</v>
      </c>
    </row>
    <row r="22" spans="1:21" ht="75" customHeight="1">
      <c r="A22" s="56"/>
      <c r="B22" s="61" t="s">
        <v>43</v>
      </c>
      <c r="C22" s="62" t="s">
        <v>811</v>
      </c>
      <c r="D22" s="62"/>
      <c r="E22" s="62"/>
      <c r="F22" s="62"/>
      <c r="G22" s="62"/>
      <c r="H22" s="62"/>
      <c r="I22" s="62" t="s">
        <v>812</v>
      </c>
      <c r="J22" s="62"/>
      <c r="K22" s="62"/>
      <c r="L22" s="62" t="s">
        <v>813</v>
      </c>
      <c r="M22" s="62"/>
      <c r="N22" s="62"/>
      <c r="O22" s="62"/>
      <c r="P22" s="63" t="s">
        <v>789</v>
      </c>
      <c r="Q22" s="63" t="s">
        <v>93</v>
      </c>
      <c r="R22" s="64">
        <v>1</v>
      </c>
      <c r="S22" s="64">
        <v>0.75</v>
      </c>
      <c r="T22" s="64">
        <v>0.73</v>
      </c>
      <c r="U22" s="65">
        <f t="shared" si="0"/>
        <v>97.333333333333329</v>
      </c>
    </row>
    <row r="23" spans="1:21" ht="75" customHeight="1">
      <c r="A23" s="56"/>
      <c r="B23" s="61" t="s">
        <v>43</v>
      </c>
      <c r="C23" s="62" t="s">
        <v>814</v>
      </c>
      <c r="D23" s="62"/>
      <c r="E23" s="62"/>
      <c r="F23" s="62"/>
      <c r="G23" s="62"/>
      <c r="H23" s="62"/>
      <c r="I23" s="62" t="s">
        <v>815</v>
      </c>
      <c r="J23" s="62"/>
      <c r="K23" s="62"/>
      <c r="L23" s="62" t="s">
        <v>816</v>
      </c>
      <c r="M23" s="62"/>
      <c r="N23" s="62"/>
      <c r="O23" s="62"/>
      <c r="P23" s="63" t="s">
        <v>40</v>
      </c>
      <c r="Q23" s="63" t="s">
        <v>93</v>
      </c>
      <c r="R23" s="63">
        <v>82.33</v>
      </c>
      <c r="S23" s="63">
        <v>53.2</v>
      </c>
      <c r="T23" s="63">
        <v>48.23</v>
      </c>
      <c r="U23" s="65">
        <f t="shared" si="0"/>
        <v>90.657894736842096</v>
      </c>
    </row>
    <row r="24" spans="1:21" ht="75" customHeight="1" thickBot="1">
      <c r="A24" s="56"/>
      <c r="B24" s="61" t="s">
        <v>43</v>
      </c>
      <c r="C24" s="62" t="s">
        <v>817</v>
      </c>
      <c r="D24" s="62"/>
      <c r="E24" s="62"/>
      <c r="F24" s="62"/>
      <c r="G24" s="62"/>
      <c r="H24" s="62"/>
      <c r="I24" s="62" t="s">
        <v>818</v>
      </c>
      <c r="J24" s="62"/>
      <c r="K24" s="62"/>
      <c r="L24" s="62" t="s">
        <v>819</v>
      </c>
      <c r="M24" s="62"/>
      <c r="N24" s="62"/>
      <c r="O24" s="62"/>
      <c r="P24" s="63" t="s">
        <v>789</v>
      </c>
      <c r="Q24" s="63" t="s">
        <v>93</v>
      </c>
      <c r="R24" s="64">
        <v>1</v>
      </c>
      <c r="S24" s="64">
        <v>1</v>
      </c>
      <c r="T24" s="64">
        <v>0.9</v>
      </c>
      <c r="U24" s="65">
        <f t="shared" si="0"/>
        <v>90</v>
      </c>
    </row>
    <row r="25" spans="1:21" ht="75" customHeight="1" thickTop="1">
      <c r="A25" s="56"/>
      <c r="B25" s="57" t="s">
        <v>56</v>
      </c>
      <c r="C25" s="58" t="s">
        <v>820</v>
      </c>
      <c r="D25" s="58"/>
      <c r="E25" s="58"/>
      <c r="F25" s="58"/>
      <c r="G25" s="58"/>
      <c r="H25" s="58"/>
      <c r="I25" s="58" t="s">
        <v>821</v>
      </c>
      <c r="J25" s="58"/>
      <c r="K25" s="58"/>
      <c r="L25" s="58" t="s">
        <v>822</v>
      </c>
      <c r="M25" s="58"/>
      <c r="N25" s="58"/>
      <c r="O25" s="58"/>
      <c r="P25" s="59" t="s">
        <v>40</v>
      </c>
      <c r="Q25" s="59" t="s">
        <v>60</v>
      </c>
      <c r="R25" s="59">
        <v>12.72</v>
      </c>
      <c r="S25" s="59">
        <v>31</v>
      </c>
      <c r="T25" s="59">
        <v>27.29</v>
      </c>
      <c r="U25" s="60">
        <f t="shared" si="0"/>
        <v>88.032258064516128</v>
      </c>
    </row>
    <row r="26" spans="1:21" ht="75" customHeight="1">
      <c r="A26" s="56"/>
      <c r="B26" s="61" t="s">
        <v>43</v>
      </c>
      <c r="C26" s="62" t="s">
        <v>43</v>
      </c>
      <c r="D26" s="62"/>
      <c r="E26" s="62"/>
      <c r="F26" s="62"/>
      <c r="G26" s="62"/>
      <c r="H26" s="62"/>
      <c r="I26" s="62" t="s">
        <v>823</v>
      </c>
      <c r="J26" s="62"/>
      <c r="K26" s="62"/>
      <c r="L26" s="62" t="s">
        <v>824</v>
      </c>
      <c r="M26" s="62"/>
      <c r="N26" s="62"/>
      <c r="O26" s="62"/>
      <c r="P26" s="63" t="s">
        <v>40</v>
      </c>
      <c r="Q26" s="63" t="s">
        <v>60</v>
      </c>
      <c r="R26" s="63">
        <v>27.65</v>
      </c>
      <c r="S26" s="63">
        <v>13.5</v>
      </c>
      <c r="T26" s="63">
        <v>11.82</v>
      </c>
      <c r="U26" s="65">
        <f t="shared" si="0"/>
        <v>87.555555555555557</v>
      </c>
    </row>
    <row r="27" spans="1:21" ht="75" customHeight="1">
      <c r="A27" s="56"/>
      <c r="B27" s="61" t="s">
        <v>43</v>
      </c>
      <c r="C27" s="62" t="s">
        <v>43</v>
      </c>
      <c r="D27" s="62"/>
      <c r="E27" s="62"/>
      <c r="F27" s="62"/>
      <c r="G27" s="62"/>
      <c r="H27" s="62"/>
      <c r="I27" s="62" t="s">
        <v>825</v>
      </c>
      <c r="J27" s="62"/>
      <c r="K27" s="62"/>
      <c r="L27" s="62" t="s">
        <v>826</v>
      </c>
      <c r="M27" s="62"/>
      <c r="N27" s="62"/>
      <c r="O27" s="62"/>
      <c r="P27" s="63" t="s">
        <v>40</v>
      </c>
      <c r="Q27" s="63" t="s">
        <v>60</v>
      </c>
      <c r="R27" s="63">
        <v>59.63</v>
      </c>
      <c r="S27" s="63">
        <v>51.5</v>
      </c>
      <c r="T27" s="63">
        <v>57.39</v>
      </c>
      <c r="U27" s="65">
        <f t="shared" si="0"/>
        <v>111.4368932038835</v>
      </c>
    </row>
    <row r="28" spans="1:21" ht="75" customHeight="1">
      <c r="A28" s="56"/>
      <c r="B28" s="61" t="s">
        <v>43</v>
      </c>
      <c r="C28" s="62" t="s">
        <v>827</v>
      </c>
      <c r="D28" s="62"/>
      <c r="E28" s="62"/>
      <c r="F28" s="62"/>
      <c r="G28" s="62"/>
      <c r="H28" s="62"/>
      <c r="I28" s="62" t="s">
        <v>828</v>
      </c>
      <c r="J28" s="62"/>
      <c r="K28" s="62"/>
      <c r="L28" s="62" t="s">
        <v>829</v>
      </c>
      <c r="M28" s="62"/>
      <c r="N28" s="62"/>
      <c r="O28" s="62"/>
      <c r="P28" s="63" t="s">
        <v>40</v>
      </c>
      <c r="Q28" s="63" t="s">
        <v>60</v>
      </c>
      <c r="R28" s="63">
        <v>27.65</v>
      </c>
      <c r="S28" s="63">
        <v>27.65</v>
      </c>
      <c r="T28" s="63">
        <v>16.96</v>
      </c>
      <c r="U28" s="65">
        <f t="shared" si="0"/>
        <v>61.338155515370708</v>
      </c>
    </row>
    <row r="29" spans="1:21" ht="75" customHeight="1">
      <c r="A29" s="56"/>
      <c r="B29" s="61" t="s">
        <v>43</v>
      </c>
      <c r="C29" s="62" t="s">
        <v>830</v>
      </c>
      <c r="D29" s="62"/>
      <c r="E29" s="62"/>
      <c r="F29" s="62"/>
      <c r="G29" s="62"/>
      <c r="H29" s="62"/>
      <c r="I29" s="62" t="s">
        <v>831</v>
      </c>
      <c r="J29" s="62"/>
      <c r="K29" s="62"/>
      <c r="L29" s="62" t="s">
        <v>832</v>
      </c>
      <c r="M29" s="62"/>
      <c r="N29" s="62"/>
      <c r="O29" s="62"/>
      <c r="P29" s="63" t="s">
        <v>40</v>
      </c>
      <c r="Q29" s="63" t="s">
        <v>60</v>
      </c>
      <c r="R29" s="63">
        <v>100</v>
      </c>
      <c r="S29" s="63">
        <v>100</v>
      </c>
      <c r="T29" s="63">
        <v>100</v>
      </c>
      <c r="U29" s="65">
        <f t="shared" si="0"/>
        <v>100</v>
      </c>
    </row>
    <row r="30" spans="1:21" ht="75" customHeight="1">
      <c r="A30" s="56"/>
      <c r="B30" s="61" t="s">
        <v>43</v>
      </c>
      <c r="C30" s="62" t="s">
        <v>833</v>
      </c>
      <c r="D30" s="62"/>
      <c r="E30" s="62"/>
      <c r="F30" s="62"/>
      <c r="G30" s="62"/>
      <c r="H30" s="62"/>
      <c r="I30" s="62" t="s">
        <v>834</v>
      </c>
      <c r="J30" s="62"/>
      <c r="K30" s="62"/>
      <c r="L30" s="62" t="s">
        <v>835</v>
      </c>
      <c r="M30" s="62"/>
      <c r="N30" s="62"/>
      <c r="O30" s="62"/>
      <c r="P30" s="63" t="s">
        <v>40</v>
      </c>
      <c r="Q30" s="63" t="s">
        <v>60</v>
      </c>
      <c r="R30" s="63">
        <v>25.03</v>
      </c>
      <c r="S30" s="63">
        <v>21.85</v>
      </c>
      <c r="T30" s="63">
        <v>24.65</v>
      </c>
      <c r="U30" s="65">
        <f t="shared" si="0"/>
        <v>112.81464530892447</v>
      </c>
    </row>
    <row r="31" spans="1:21" ht="75" customHeight="1">
      <c r="A31" s="56"/>
      <c r="B31" s="61" t="s">
        <v>43</v>
      </c>
      <c r="C31" s="62" t="s">
        <v>836</v>
      </c>
      <c r="D31" s="62"/>
      <c r="E31" s="62"/>
      <c r="F31" s="62"/>
      <c r="G31" s="62"/>
      <c r="H31" s="62"/>
      <c r="I31" s="62" t="s">
        <v>837</v>
      </c>
      <c r="J31" s="62"/>
      <c r="K31" s="62"/>
      <c r="L31" s="62" t="s">
        <v>838</v>
      </c>
      <c r="M31" s="62"/>
      <c r="N31" s="62"/>
      <c r="O31" s="62"/>
      <c r="P31" s="63" t="s">
        <v>40</v>
      </c>
      <c r="Q31" s="63" t="s">
        <v>60</v>
      </c>
      <c r="R31" s="63">
        <v>16.77</v>
      </c>
      <c r="S31" s="63">
        <v>8.6999999999999993</v>
      </c>
      <c r="T31" s="63">
        <v>5.59</v>
      </c>
      <c r="U31" s="65">
        <f t="shared" si="0"/>
        <v>64.252873563218387</v>
      </c>
    </row>
    <row r="32" spans="1:21" ht="75" customHeight="1">
      <c r="A32" s="56"/>
      <c r="B32" s="61" t="s">
        <v>43</v>
      </c>
      <c r="C32" s="62" t="s">
        <v>839</v>
      </c>
      <c r="D32" s="62"/>
      <c r="E32" s="62"/>
      <c r="F32" s="62"/>
      <c r="G32" s="62"/>
      <c r="H32" s="62"/>
      <c r="I32" s="62" t="s">
        <v>840</v>
      </c>
      <c r="J32" s="62"/>
      <c r="K32" s="62"/>
      <c r="L32" s="62" t="s">
        <v>841</v>
      </c>
      <c r="M32" s="62"/>
      <c r="N32" s="62"/>
      <c r="O32" s="62"/>
      <c r="P32" s="63" t="s">
        <v>40</v>
      </c>
      <c r="Q32" s="63" t="s">
        <v>60</v>
      </c>
      <c r="R32" s="63">
        <v>42.03</v>
      </c>
      <c r="S32" s="63">
        <v>35.86</v>
      </c>
      <c r="T32" s="63">
        <v>35.86</v>
      </c>
      <c r="U32" s="65">
        <f t="shared" si="0"/>
        <v>100</v>
      </c>
    </row>
    <row r="33" spans="1:22" ht="75" customHeight="1">
      <c r="A33" s="56"/>
      <c r="B33" s="61" t="s">
        <v>43</v>
      </c>
      <c r="C33" s="62" t="s">
        <v>842</v>
      </c>
      <c r="D33" s="62"/>
      <c r="E33" s="62"/>
      <c r="F33" s="62"/>
      <c r="G33" s="62"/>
      <c r="H33" s="62"/>
      <c r="I33" s="62" t="s">
        <v>843</v>
      </c>
      <c r="J33" s="62"/>
      <c r="K33" s="62"/>
      <c r="L33" s="62" t="s">
        <v>844</v>
      </c>
      <c r="M33" s="62"/>
      <c r="N33" s="62"/>
      <c r="O33" s="62"/>
      <c r="P33" s="63" t="s">
        <v>40</v>
      </c>
      <c r="Q33" s="63" t="s">
        <v>60</v>
      </c>
      <c r="R33" s="63">
        <v>91.07</v>
      </c>
      <c r="S33" s="63">
        <v>89.29</v>
      </c>
      <c r="T33" s="63">
        <v>91.07</v>
      </c>
      <c r="U33" s="65">
        <f t="shared" si="0"/>
        <v>101.99350431179302</v>
      </c>
    </row>
    <row r="34" spans="1:22" ht="75" customHeight="1">
      <c r="A34" s="56"/>
      <c r="B34" s="61" t="s">
        <v>43</v>
      </c>
      <c r="C34" s="62" t="s">
        <v>845</v>
      </c>
      <c r="D34" s="62"/>
      <c r="E34" s="62"/>
      <c r="F34" s="62"/>
      <c r="G34" s="62"/>
      <c r="H34" s="62"/>
      <c r="I34" s="62" t="s">
        <v>846</v>
      </c>
      <c r="J34" s="62"/>
      <c r="K34" s="62"/>
      <c r="L34" s="62" t="s">
        <v>847</v>
      </c>
      <c r="M34" s="62"/>
      <c r="N34" s="62"/>
      <c r="O34" s="62"/>
      <c r="P34" s="63" t="s">
        <v>40</v>
      </c>
      <c r="Q34" s="63" t="s">
        <v>60</v>
      </c>
      <c r="R34" s="63">
        <v>92.53</v>
      </c>
      <c r="S34" s="63">
        <v>69</v>
      </c>
      <c r="T34" s="63">
        <v>86.91</v>
      </c>
      <c r="U34" s="65">
        <f t="shared" si="0"/>
        <v>125.95652173913044</v>
      </c>
    </row>
    <row r="35" spans="1:22" ht="75" customHeight="1">
      <c r="A35" s="56"/>
      <c r="B35" s="61" t="s">
        <v>43</v>
      </c>
      <c r="C35" s="62" t="s">
        <v>848</v>
      </c>
      <c r="D35" s="62"/>
      <c r="E35" s="62"/>
      <c r="F35" s="62"/>
      <c r="G35" s="62"/>
      <c r="H35" s="62"/>
      <c r="I35" s="62" t="s">
        <v>849</v>
      </c>
      <c r="J35" s="62"/>
      <c r="K35" s="62"/>
      <c r="L35" s="62" t="s">
        <v>850</v>
      </c>
      <c r="M35" s="62"/>
      <c r="N35" s="62"/>
      <c r="O35" s="62"/>
      <c r="P35" s="63" t="s">
        <v>40</v>
      </c>
      <c r="Q35" s="63" t="s">
        <v>60</v>
      </c>
      <c r="R35" s="63">
        <v>100</v>
      </c>
      <c r="S35" s="63">
        <v>100</v>
      </c>
      <c r="T35" s="63">
        <v>100</v>
      </c>
      <c r="U35" s="65">
        <f t="shared" si="0"/>
        <v>100</v>
      </c>
    </row>
    <row r="36" spans="1:22" ht="75" customHeight="1" thickBot="1">
      <c r="A36" s="56"/>
      <c r="B36" s="61" t="s">
        <v>43</v>
      </c>
      <c r="C36" s="62" t="s">
        <v>851</v>
      </c>
      <c r="D36" s="62"/>
      <c r="E36" s="62"/>
      <c r="F36" s="62"/>
      <c r="G36" s="62"/>
      <c r="H36" s="62"/>
      <c r="I36" s="62" t="s">
        <v>852</v>
      </c>
      <c r="J36" s="62"/>
      <c r="K36" s="62"/>
      <c r="L36" s="62" t="s">
        <v>853</v>
      </c>
      <c r="M36" s="62"/>
      <c r="N36" s="62"/>
      <c r="O36" s="62"/>
      <c r="P36" s="63" t="s">
        <v>40</v>
      </c>
      <c r="Q36" s="63" t="s">
        <v>60</v>
      </c>
      <c r="R36" s="63">
        <v>18.8</v>
      </c>
      <c r="S36" s="63">
        <v>8.92</v>
      </c>
      <c r="T36" s="63">
        <v>18.579999999999998</v>
      </c>
      <c r="U36" s="65">
        <f t="shared" si="0"/>
        <v>208.29596412556052</v>
      </c>
    </row>
    <row r="37" spans="1:22" ht="22.5" customHeight="1" thickTop="1" thickBot="1">
      <c r="B37" s="9" t="s">
        <v>61</v>
      </c>
      <c r="C37" s="10"/>
      <c r="D37" s="10"/>
      <c r="E37" s="10"/>
      <c r="F37" s="10"/>
      <c r="G37" s="10"/>
      <c r="H37" s="11"/>
      <c r="I37" s="11"/>
      <c r="J37" s="11"/>
      <c r="K37" s="11"/>
      <c r="L37" s="11"/>
      <c r="M37" s="11"/>
      <c r="N37" s="11"/>
      <c r="O37" s="11"/>
      <c r="P37" s="11"/>
      <c r="Q37" s="11"/>
      <c r="R37" s="11"/>
      <c r="S37" s="11"/>
      <c r="T37" s="11"/>
      <c r="U37" s="12"/>
      <c r="V37" s="66"/>
    </row>
    <row r="38" spans="1:22" ht="26.25" customHeight="1" thickTop="1">
      <c r="B38" s="67"/>
      <c r="C38" s="68"/>
      <c r="D38" s="68"/>
      <c r="E38" s="68"/>
      <c r="F38" s="68"/>
      <c r="G38" s="68"/>
      <c r="H38" s="69"/>
      <c r="I38" s="69"/>
      <c r="J38" s="69"/>
      <c r="K38" s="69"/>
      <c r="L38" s="69"/>
      <c r="M38" s="69"/>
      <c r="N38" s="69"/>
      <c r="O38" s="69"/>
      <c r="P38" s="70"/>
      <c r="Q38" s="71"/>
      <c r="R38" s="72" t="s">
        <v>62</v>
      </c>
      <c r="S38" s="40" t="s">
        <v>63</v>
      </c>
      <c r="T38" s="72" t="s">
        <v>64</v>
      </c>
      <c r="U38" s="40" t="s">
        <v>65</v>
      </c>
    </row>
    <row r="39" spans="1:22" ht="26.25" customHeight="1" thickBot="1">
      <c r="B39" s="73"/>
      <c r="C39" s="74"/>
      <c r="D39" s="74"/>
      <c r="E39" s="74"/>
      <c r="F39" s="74"/>
      <c r="G39" s="74"/>
      <c r="H39" s="75"/>
      <c r="I39" s="75"/>
      <c r="J39" s="75"/>
      <c r="K39" s="75"/>
      <c r="L39" s="75"/>
      <c r="M39" s="75"/>
      <c r="N39" s="75"/>
      <c r="O39" s="75"/>
      <c r="P39" s="76"/>
      <c r="Q39" s="77"/>
      <c r="R39" s="78" t="s">
        <v>66</v>
      </c>
      <c r="S39" s="77" t="s">
        <v>66</v>
      </c>
      <c r="T39" s="77" t="s">
        <v>66</v>
      </c>
      <c r="U39" s="77" t="s">
        <v>67</v>
      </c>
    </row>
    <row r="40" spans="1:22" ht="13.5" customHeight="1" thickBot="1">
      <c r="B40" s="79" t="s">
        <v>68</v>
      </c>
      <c r="C40" s="80"/>
      <c r="D40" s="80"/>
      <c r="E40" s="81"/>
      <c r="F40" s="81"/>
      <c r="G40" s="81"/>
      <c r="H40" s="82"/>
      <c r="I40" s="82"/>
      <c r="J40" s="82"/>
      <c r="K40" s="82"/>
      <c r="L40" s="82"/>
      <c r="M40" s="82"/>
      <c r="N40" s="82"/>
      <c r="O40" s="82"/>
      <c r="P40" s="83"/>
      <c r="Q40" s="83"/>
      <c r="R40" s="84">
        <f>2806.903134</f>
        <v>2806.9031340000001</v>
      </c>
      <c r="S40" s="84">
        <f>2756.383347</f>
        <v>2756.383347</v>
      </c>
      <c r="T40" s="84">
        <f>2621.77728469999</f>
        <v>2621.7772846999901</v>
      </c>
      <c r="U40" s="85">
        <f>+IF(ISERR(T40/S40*100),"N/A",T40/S40*100)</f>
        <v>95.116569600287534</v>
      </c>
    </row>
    <row r="41" spans="1:22" ht="13.5" customHeight="1" thickBot="1">
      <c r="B41" s="86" t="s">
        <v>69</v>
      </c>
      <c r="C41" s="87"/>
      <c r="D41" s="87"/>
      <c r="E41" s="88"/>
      <c r="F41" s="88"/>
      <c r="G41" s="88"/>
      <c r="H41" s="89"/>
      <c r="I41" s="89"/>
      <c r="J41" s="89"/>
      <c r="K41" s="89"/>
      <c r="L41" s="89"/>
      <c r="M41" s="89"/>
      <c r="N41" s="89"/>
      <c r="O41" s="89"/>
      <c r="P41" s="90"/>
      <c r="Q41" s="90"/>
      <c r="R41" s="84">
        <f>2716.64363013</f>
        <v>2716.64363013</v>
      </c>
      <c r="S41" s="84">
        <f>2630.46062871</f>
        <v>2630.46062871</v>
      </c>
      <c r="T41" s="84">
        <f>2621.77728469999</f>
        <v>2621.7772846999901</v>
      </c>
      <c r="U41" s="85">
        <f>+IF(ISERR(T41/S41*100),"N/A",T41/S41*100)</f>
        <v>99.669892644838086</v>
      </c>
    </row>
    <row r="42" spans="1:22" ht="14.85" customHeight="1" thickTop="1" thickBot="1">
      <c r="B42" s="9" t="s">
        <v>70</v>
      </c>
      <c r="C42" s="10"/>
      <c r="D42" s="10"/>
      <c r="E42" s="10"/>
      <c r="F42" s="10"/>
      <c r="G42" s="10"/>
      <c r="H42" s="11"/>
      <c r="I42" s="11"/>
      <c r="J42" s="11"/>
      <c r="K42" s="11"/>
      <c r="L42" s="11"/>
      <c r="M42" s="11"/>
      <c r="N42" s="11"/>
      <c r="O42" s="11"/>
      <c r="P42" s="11"/>
      <c r="Q42" s="11"/>
      <c r="R42" s="11"/>
      <c r="S42" s="11"/>
      <c r="T42" s="11"/>
      <c r="U42" s="12"/>
    </row>
    <row r="43" spans="1:22" ht="44.25" customHeight="1" thickTop="1">
      <c r="B43" s="91" t="s">
        <v>71</v>
      </c>
      <c r="C43" s="93"/>
      <c r="D43" s="93"/>
      <c r="E43" s="93"/>
      <c r="F43" s="93"/>
      <c r="G43" s="93"/>
      <c r="H43" s="93"/>
      <c r="I43" s="93"/>
      <c r="J43" s="93"/>
      <c r="K43" s="93"/>
      <c r="L43" s="93"/>
      <c r="M43" s="93"/>
      <c r="N43" s="93"/>
      <c r="O43" s="93"/>
      <c r="P43" s="93"/>
      <c r="Q43" s="93"/>
      <c r="R43" s="93"/>
      <c r="S43" s="93"/>
      <c r="T43" s="93"/>
      <c r="U43" s="92"/>
    </row>
    <row r="44" spans="1:22" ht="34.5" customHeight="1">
      <c r="B44" s="94" t="s">
        <v>854</v>
      </c>
      <c r="C44" s="96"/>
      <c r="D44" s="96"/>
      <c r="E44" s="96"/>
      <c r="F44" s="96"/>
      <c r="G44" s="96"/>
      <c r="H44" s="96"/>
      <c r="I44" s="96"/>
      <c r="J44" s="96"/>
      <c r="K44" s="96"/>
      <c r="L44" s="96"/>
      <c r="M44" s="96"/>
      <c r="N44" s="96"/>
      <c r="O44" s="96"/>
      <c r="P44" s="96"/>
      <c r="Q44" s="96"/>
      <c r="R44" s="96"/>
      <c r="S44" s="96"/>
      <c r="T44" s="96"/>
      <c r="U44" s="95"/>
    </row>
    <row r="45" spans="1:22" ht="34.5" customHeight="1">
      <c r="B45" s="94" t="s">
        <v>855</v>
      </c>
      <c r="C45" s="96"/>
      <c r="D45" s="96"/>
      <c r="E45" s="96"/>
      <c r="F45" s="96"/>
      <c r="G45" s="96"/>
      <c r="H45" s="96"/>
      <c r="I45" s="96"/>
      <c r="J45" s="96"/>
      <c r="K45" s="96"/>
      <c r="L45" s="96"/>
      <c r="M45" s="96"/>
      <c r="N45" s="96"/>
      <c r="O45" s="96"/>
      <c r="P45" s="96"/>
      <c r="Q45" s="96"/>
      <c r="R45" s="96"/>
      <c r="S45" s="96"/>
      <c r="T45" s="96"/>
      <c r="U45" s="95"/>
    </row>
    <row r="46" spans="1:22" ht="34.5" customHeight="1">
      <c r="B46" s="94" t="s">
        <v>856</v>
      </c>
      <c r="C46" s="96"/>
      <c r="D46" s="96"/>
      <c r="E46" s="96"/>
      <c r="F46" s="96"/>
      <c r="G46" s="96"/>
      <c r="H46" s="96"/>
      <c r="I46" s="96"/>
      <c r="J46" s="96"/>
      <c r="K46" s="96"/>
      <c r="L46" s="96"/>
      <c r="M46" s="96"/>
      <c r="N46" s="96"/>
      <c r="O46" s="96"/>
      <c r="P46" s="96"/>
      <c r="Q46" s="96"/>
      <c r="R46" s="96"/>
      <c r="S46" s="96"/>
      <c r="T46" s="96"/>
      <c r="U46" s="95"/>
    </row>
    <row r="47" spans="1:22" ht="17.45" customHeight="1">
      <c r="B47" s="94" t="s">
        <v>857</v>
      </c>
      <c r="C47" s="96"/>
      <c r="D47" s="96"/>
      <c r="E47" s="96"/>
      <c r="F47" s="96"/>
      <c r="G47" s="96"/>
      <c r="H47" s="96"/>
      <c r="I47" s="96"/>
      <c r="J47" s="96"/>
      <c r="K47" s="96"/>
      <c r="L47" s="96"/>
      <c r="M47" s="96"/>
      <c r="N47" s="96"/>
      <c r="O47" s="96"/>
      <c r="P47" s="96"/>
      <c r="Q47" s="96"/>
      <c r="R47" s="96"/>
      <c r="S47" s="96"/>
      <c r="T47" s="96"/>
      <c r="U47" s="95"/>
    </row>
    <row r="48" spans="1:22" ht="34.5" customHeight="1">
      <c r="B48" s="94" t="s">
        <v>858</v>
      </c>
      <c r="C48" s="96"/>
      <c r="D48" s="96"/>
      <c r="E48" s="96"/>
      <c r="F48" s="96"/>
      <c r="G48" s="96"/>
      <c r="H48" s="96"/>
      <c r="I48" s="96"/>
      <c r="J48" s="96"/>
      <c r="K48" s="96"/>
      <c r="L48" s="96"/>
      <c r="M48" s="96"/>
      <c r="N48" s="96"/>
      <c r="O48" s="96"/>
      <c r="P48" s="96"/>
      <c r="Q48" s="96"/>
      <c r="R48" s="96"/>
      <c r="S48" s="96"/>
      <c r="T48" s="96"/>
      <c r="U48" s="95"/>
    </row>
    <row r="49" spans="2:21" ht="34.5" customHeight="1">
      <c r="B49" s="94" t="s">
        <v>859</v>
      </c>
      <c r="C49" s="96"/>
      <c r="D49" s="96"/>
      <c r="E49" s="96"/>
      <c r="F49" s="96"/>
      <c r="G49" s="96"/>
      <c r="H49" s="96"/>
      <c r="I49" s="96"/>
      <c r="J49" s="96"/>
      <c r="K49" s="96"/>
      <c r="L49" s="96"/>
      <c r="M49" s="96"/>
      <c r="N49" s="96"/>
      <c r="O49" s="96"/>
      <c r="P49" s="96"/>
      <c r="Q49" s="96"/>
      <c r="R49" s="96"/>
      <c r="S49" s="96"/>
      <c r="T49" s="96"/>
      <c r="U49" s="95"/>
    </row>
    <row r="50" spans="2:21" ht="34.5" customHeight="1">
      <c r="B50" s="94" t="s">
        <v>860</v>
      </c>
      <c r="C50" s="96"/>
      <c r="D50" s="96"/>
      <c r="E50" s="96"/>
      <c r="F50" s="96"/>
      <c r="G50" s="96"/>
      <c r="H50" s="96"/>
      <c r="I50" s="96"/>
      <c r="J50" s="96"/>
      <c r="K50" s="96"/>
      <c r="L50" s="96"/>
      <c r="M50" s="96"/>
      <c r="N50" s="96"/>
      <c r="O50" s="96"/>
      <c r="P50" s="96"/>
      <c r="Q50" s="96"/>
      <c r="R50" s="96"/>
      <c r="S50" s="96"/>
      <c r="T50" s="96"/>
      <c r="U50" s="95"/>
    </row>
    <row r="51" spans="2:21" ht="34.5" customHeight="1">
      <c r="B51" s="94" t="s">
        <v>861</v>
      </c>
      <c r="C51" s="96"/>
      <c r="D51" s="96"/>
      <c r="E51" s="96"/>
      <c r="F51" s="96"/>
      <c r="G51" s="96"/>
      <c r="H51" s="96"/>
      <c r="I51" s="96"/>
      <c r="J51" s="96"/>
      <c r="K51" s="96"/>
      <c r="L51" s="96"/>
      <c r="M51" s="96"/>
      <c r="N51" s="96"/>
      <c r="O51" s="96"/>
      <c r="P51" s="96"/>
      <c r="Q51" s="96"/>
      <c r="R51" s="96"/>
      <c r="S51" s="96"/>
      <c r="T51" s="96"/>
      <c r="U51" s="95"/>
    </row>
    <row r="52" spans="2:21" ht="18.600000000000001" customHeight="1">
      <c r="B52" s="94" t="s">
        <v>862</v>
      </c>
      <c r="C52" s="96"/>
      <c r="D52" s="96"/>
      <c r="E52" s="96"/>
      <c r="F52" s="96"/>
      <c r="G52" s="96"/>
      <c r="H52" s="96"/>
      <c r="I52" s="96"/>
      <c r="J52" s="96"/>
      <c r="K52" s="96"/>
      <c r="L52" s="96"/>
      <c r="M52" s="96"/>
      <c r="N52" s="96"/>
      <c r="O52" s="96"/>
      <c r="P52" s="96"/>
      <c r="Q52" s="96"/>
      <c r="R52" s="96"/>
      <c r="S52" s="96"/>
      <c r="T52" s="96"/>
      <c r="U52" s="95"/>
    </row>
    <row r="53" spans="2:21" ht="45.95" customHeight="1">
      <c r="B53" s="94" t="s">
        <v>863</v>
      </c>
      <c r="C53" s="96"/>
      <c r="D53" s="96"/>
      <c r="E53" s="96"/>
      <c r="F53" s="96"/>
      <c r="G53" s="96"/>
      <c r="H53" s="96"/>
      <c r="I53" s="96"/>
      <c r="J53" s="96"/>
      <c r="K53" s="96"/>
      <c r="L53" s="96"/>
      <c r="M53" s="96"/>
      <c r="N53" s="96"/>
      <c r="O53" s="96"/>
      <c r="P53" s="96"/>
      <c r="Q53" s="96"/>
      <c r="R53" s="96"/>
      <c r="S53" s="96"/>
      <c r="T53" s="96"/>
      <c r="U53" s="95"/>
    </row>
    <row r="54" spans="2:21" ht="39.75" customHeight="1">
      <c r="B54" s="94" t="s">
        <v>864</v>
      </c>
      <c r="C54" s="96"/>
      <c r="D54" s="96"/>
      <c r="E54" s="96"/>
      <c r="F54" s="96"/>
      <c r="G54" s="96"/>
      <c r="H54" s="96"/>
      <c r="I54" s="96"/>
      <c r="J54" s="96"/>
      <c r="K54" s="96"/>
      <c r="L54" s="96"/>
      <c r="M54" s="96"/>
      <c r="N54" s="96"/>
      <c r="O54" s="96"/>
      <c r="P54" s="96"/>
      <c r="Q54" s="96"/>
      <c r="R54" s="96"/>
      <c r="S54" s="96"/>
      <c r="T54" s="96"/>
      <c r="U54" s="95"/>
    </row>
    <row r="55" spans="2:21" ht="46.5" customHeight="1">
      <c r="B55" s="94" t="s">
        <v>865</v>
      </c>
      <c r="C55" s="96"/>
      <c r="D55" s="96"/>
      <c r="E55" s="96"/>
      <c r="F55" s="96"/>
      <c r="G55" s="96"/>
      <c r="H55" s="96"/>
      <c r="I55" s="96"/>
      <c r="J55" s="96"/>
      <c r="K55" s="96"/>
      <c r="L55" s="96"/>
      <c r="M55" s="96"/>
      <c r="N55" s="96"/>
      <c r="O55" s="96"/>
      <c r="P55" s="96"/>
      <c r="Q55" s="96"/>
      <c r="R55" s="96"/>
      <c r="S55" s="96"/>
      <c r="T55" s="96"/>
      <c r="U55" s="95"/>
    </row>
    <row r="56" spans="2:21" ht="55.35" customHeight="1">
      <c r="B56" s="94" t="s">
        <v>866</v>
      </c>
      <c r="C56" s="96"/>
      <c r="D56" s="96"/>
      <c r="E56" s="96"/>
      <c r="F56" s="96"/>
      <c r="G56" s="96"/>
      <c r="H56" s="96"/>
      <c r="I56" s="96"/>
      <c r="J56" s="96"/>
      <c r="K56" s="96"/>
      <c r="L56" s="96"/>
      <c r="M56" s="96"/>
      <c r="N56" s="96"/>
      <c r="O56" s="96"/>
      <c r="P56" s="96"/>
      <c r="Q56" s="96"/>
      <c r="R56" s="96"/>
      <c r="S56" s="96"/>
      <c r="T56" s="96"/>
      <c r="U56" s="95"/>
    </row>
    <row r="57" spans="2:21" ht="44.85" customHeight="1">
      <c r="B57" s="94" t="s">
        <v>867</v>
      </c>
      <c r="C57" s="96"/>
      <c r="D57" s="96"/>
      <c r="E57" s="96"/>
      <c r="F57" s="96"/>
      <c r="G57" s="96"/>
      <c r="H57" s="96"/>
      <c r="I57" s="96"/>
      <c r="J57" s="96"/>
      <c r="K57" s="96"/>
      <c r="L57" s="96"/>
      <c r="M57" s="96"/>
      <c r="N57" s="96"/>
      <c r="O57" s="96"/>
      <c r="P57" s="96"/>
      <c r="Q57" s="96"/>
      <c r="R57" s="96"/>
      <c r="S57" s="96"/>
      <c r="T57" s="96"/>
      <c r="U57" s="95"/>
    </row>
    <row r="58" spans="2:21" ht="44.85" customHeight="1">
      <c r="B58" s="94" t="s">
        <v>868</v>
      </c>
      <c r="C58" s="96"/>
      <c r="D58" s="96"/>
      <c r="E58" s="96"/>
      <c r="F58" s="96"/>
      <c r="G58" s="96"/>
      <c r="H58" s="96"/>
      <c r="I58" s="96"/>
      <c r="J58" s="96"/>
      <c r="K58" s="96"/>
      <c r="L58" s="96"/>
      <c r="M58" s="96"/>
      <c r="N58" s="96"/>
      <c r="O58" s="96"/>
      <c r="P58" s="96"/>
      <c r="Q58" s="96"/>
      <c r="R58" s="96"/>
      <c r="S58" s="96"/>
      <c r="T58" s="96"/>
      <c r="U58" s="95"/>
    </row>
    <row r="59" spans="2:21" ht="45.2" customHeight="1">
      <c r="B59" s="94" t="s">
        <v>869</v>
      </c>
      <c r="C59" s="96"/>
      <c r="D59" s="96"/>
      <c r="E59" s="96"/>
      <c r="F59" s="96"/>
      <c r="G59" s="96"/>
      <c r="H59" s="96"/>
      <c r="I59" s="96"/>
      <c r="J59" s="96"/>
      <c r="K59" s="96"/>
      <c r="L59" s="96"/>
      <c r="M59" s="96"/>
      <c r="N59" s="96"/>
      <c r="O59" s="96"/>
      <c r="P59" s="96"/>
      <c r="Q59" s="96"/>
      <c r="R59" s="96"/>
      <c r="S59" s="96"/>
      <c r="T59" s="96"/>
      <c r="U59" s="95"/>
    </row>
    <row r="60" spans="2:21" ht="54.6" customHeight="1">
      <c r="B60" s="94" t="s">
        <v>870</v>
      </c>
      <c r="C60" s="96"/>
      <c r="D60" s="96"/>
      <c r="E60" s="96"/>
      <c r="F60" s="96"/>
      <c r="G60" s="96"/>
      <c r="H60" s="96"/>
      <c r="I60" s="96"/>
      <c r="J60" s="96"/>
      <c r="K60" s="96"/>
      <c r="L60" s="96"/>
      <c r="M60" s="96"/>
      <c r="N60" s="96"/>
      <c r="O60" s="96"/>
      <c r="P60" s="96"/>
      <c r="Q60" s="96"/>
      <c r="R60" s="96"/>
      <c r="S60" s="96"/>
      <c r="T60" s="96"/>
      <c r="U60" s="95"/>
    </row>
    <row r="61" spans="2:21" ht="35.450000000000003" customHeight="1">
      <c r="B61" s="94" t="s">
        <v>871</v>
      </c>
      <c r="C61" s="96"/>
      <c r="D61" s="96"/>
      <c r="E61" s="96"/>
      <c r="F61" s="96"/>
      <c r="G61" s="96"/>
      <c r="H61" s="96"/>
      <c r="I61" s="96"/>
      <c r="J61" s="96"/>
      <c r="K61" s="96"/>
      <c r="L61" s="96"/>
      <c r="M61" s="96"/>
      <c r="N61" s="96"/>
      <c r="O61" s="96"/>
      <c r="P61" s="96"/>
      <c r="Q61" s="96"/>
      <c r="R61" s="96"/>
      <c r="S61" s="96"/>
      <c r="T61" s="96"/>
      <c r="U61" s="95"/>
    </row>
    <row r="62" spans="2:21" ht="26.1" customHeight="1">
      <c r="B62" s="94" t="s">
        <v>872</v>
      </c>
      <c r="C62" s="96"/>
      <c r="D62" s="96"/>
      <c r="E62" s="96"/>
      <c r="F62" s="96"/>
      <c r="G62" s="96"/>
      <c r="H62" s="96"/>
      <c r="I62" s="96"/>
      <c r="J62" s="96"/>
      <c r="K62" s="96"/>
      <c r="L62" s="96"/>
      <c r="M62" s="96"/>
      <c r="N62" s="96"/>
      <c r="O62" s="96"/>
      <c r="P62" s="96"/>
      <c r="Q62" s="96"/>
      <c r="R62" s="96"/>
      <c r="S62" s="96"/>
      <c r="T62" s="96"/>
      <c r="U62" s="95"/>
    </row>
    <row r="63" spans="2:21" ht="39.200000000000003" customHeight="1">
      <c r="B63" s="94" t="s">
        <v>873</v>
      </c>
      <c r="C63" s="96"/>
      <c r="D63" s="96"/>
      <c r="E63" s="96"/>
      <c r="F63" s="96"/>
      <c r="G63" s="96"/>
      <c r="H63" s="96"/>
      <c r="I63" s="96"/>
      <c r="J63" s="96"/>
      <c r="K63" s="96"/>
      <c r="L63" s="96"/>
      <c r="M63" s="96"/>
      <c r="N63" s="96"/>
      <c r="O63" s="96"/>
      <c r="P63" s="96"/>
      <c r="Q63" s="96"/>
      <c r="R63" s="96"/>
      <c r="S63" s="96"/>
      <c r="T63" s="96"/>
      <c r="U63" s="95"/>
    </row>
    <row r="64" spans="2:21" ht="35.25" customHeight="1">
      <c r="B64" s="94" t="s">
        <v>874</v>
      </c>
      <c r="C64" s="96"/>
      <c r="D64" s="96"/>
      <c r="E64" s="96"/>
      <c r="F64" s="96"/>
      <c r="G64" s="96"/>
      <c r="H64" s="96"/>
      <c r="I64" s="96"/>
      <c r="J64" s="96"/>
      <c r="K64" s="96"/>
      <c r="L64" s="96"/>
      <c r="M64" s="96"/>
      <c r="N64" s="96"/>
      <c r="O64" s="96"/>
      <c r="P64" s="96"/>
      <c r="Q64" s="96"/>
      <c r="R64" s="96"/>
      <c r="S64" s="96"/>
      <c r="T64" s="96"/>
      <c r="U64" s="95"/>
    </row>
    <row r="65" spans="2:21" ht="23.1" customHeight="1">
      <c r="B65" s="94" t="s">
        <v>875</v>
      </c>
      <c r="C65" s="96"/>
      <c r="D65" s="96"/>
      <c r="E65" s="96"/>
      <c r="F65" s="96"/>
      <c r="G65" s="96"/>
      <c r="H65" s="96"/>
      <c r="I65" s="96"/>
      <c r="J65" s="96"/>
      <c r="K65" s="96"/>
      <c r="L65" s="96"/>
      <c r="M65" s="96"/>
      <c r="N65" s="96"/>
      <c r="O65" s="96"/>
      <c r="P65" s="96"/>
      <c r="Q65" s="96"/>
      <c r="R65" s="96"/>
      <c r="S65" s="96"/>
      <c r="T65" s="96"/>
      <c r="U65" s="95"/>
    </row>
    <row r="66" spans="2:21" ht="41.45" customHeight="1">
      <c r="B66" s="94" t="s">
        <v>876</v>
      </c>
      <c r="C66" s="96"/>
      <c r="D66" s="96"/>
      <c r="E66" s="96"/>
      <c r="F66" s="96"/>
      <c r="G66" s="96"/>
      <c r="H66" s="96"/>
      <c r="I66" s="96"/>
      <c r="J66" s="96"/>
      <c r="K66" s="96"/>
      <c r="L66" s="96"/>
      <c r="M66" s="96"/>
      <c r="N66" s="96"/>
      <c r="O66" s="96"/>
      <c r="P66" s="96"/>
      <c r="Q66" s="96"/>
      <c r="R66" s="96"/>
      <c r="S66" s="96"/>
      <c r="T66" s="96"/>
      <c r="U66" s="95"/>
    </row>
    <row r="67" spans="2:21" ht="29.85" customHeight="1">
      <c r="B67" s="94" t="s">
        <v>877</v>
      </c>
      <c r="C67" s="96"/>
      <c r="D67" s="96"/>
      <c r="E67" s="96"/>
      <c r="F67" s="96"/>
      <c r="G67" s="96"/>
      <c r="H67" s="96"/>
      <c r="I67" s="96"/>
      <c r="J67" s="96"/>
      <c r="K67" s="96"/>
      <c r="L67" s="96"/>
      <c r="M67" s="96"/>
      <c r="N67" s="96"/>
      <c r="O67" s="96"/>
      <c r="P67" s="96"/>
      <c r="Q67" s="96"/>
      <c r="R67" s="96"/>
      <c r="S67" s="96"/>
      <c r="T67" s="96"/>
      <c r="U67" s="95"/>
    </row>
    <row r="68" spans="2:21" ht="24" customHeight="1">
      <c r="B68" s="94" t="s">
        <v>878</v>
      </c>
      <c r="C68" s="96"/>
      <c r="D68" s="96"/>
      <c r="E68" s="96"/>
      <c r="F68" s="96"/>
      <c r="G68" s="96"/>
      <c r="H68" s="96"/>
      <c r="I68" s="96"/>
      <c r="J68" s="96"/>
      <c r="K68" s="96"/>
      <c r="L68" s="96"/>
      <c r="M68" s="96"/>
      <c r="N68" s="96"/>
      <c r="O68" s="96"/>
      <c r="P68" s="96"/>
      <c r="Q68" s="96"/>
      <c r="R68" s="96"/>
      <c r="S68" s="96"/>
      <c r="T68" s="96"/>
      <c r="U68" s="95"/>
    </row>
    <row r="69" spans="2:21" ht="36.75" customHeight="1" thickBot="1">
      <c r="B69" s="97" t="s">
        <v>879</v>
      </c>
      <c r="C69" s="99"/>
      <c r="D69" s="99"/>
      <c r="E69" s="99"/>
      <c r="F69" s="99"/>
      <c r="G69" s="99"/>
      <c r="H69" s="99"/>
      <c r="I69" s="99"/>
      <c r="J69" s="99"/>
      <c r="K69" s="99"/>
      <c r="L69" s="99"/>
      <c r="M69" s="99"/>
      <c r="N69" s="99"/>
      <c r="O69" s="99"/>
      <c r="P69" s="99"/>
      <c r="Q69" s="99"/>
      <c r="R69" s="99"/>
      <c r="S69" s="99"/>
      <c r="T69" s="99"/>
      <c r="U69" s="98"/>
    </row>
  </sheetData>
  <mergeCells count="128">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C36:H36"/>
    <mergeCell ref="I36:K36"/>
    <mergeCell ref="L36:O36"/>
    <mergeCell ref="B40:D40"/>
    <mergeCell ref="B41:D41"/>
    <mergeCell ref="B43:U43"/>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880</v>
      </c>
      <c r="D4" s="15" t="s">
        <v>881</v>
      </c>
      <c r="E4" s="15"/>
      <c r="F4" s="15"/>
      <c r="G4" s="15"/>
      <c r="H4" s="15"/>
      <c r="I4" s="16"/>
      <c r="J4" s="17" t="s">
        <v>6</v>
      </c>
      <c r="K4" s="18" t="s">
        <v>7</v>
      </c>
      <c r="L4" s="19" t="s">
        <v>8</v>
      </c>
      <c r="M4" s="19"/>
      <c r="N4" s="19"/>
      <c r="O4" s="19"/>
      <c r="P4" s="17" t="s">
        <v>9</v>
      </c>
      <c r="Q4" s="19" t="s">
        <v>882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883</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46" si="0">IF(ISERR(T11/S11*100),"N/A",T11/S11*100)</f>
        <v>N/A</v>
      </c>
    </row>
    <row r="12" spans="1:34" ht="75" customHeight="1" thickTop="1" thickBot="1">
      <c r="A12" s="56"/>
      <c r="B12" s="57" t="s">
        <v>46</v>
      </c>
      <c r="C12" s="58" t="s">
        <v>884</v>
      </c>
      <c r="D12" s="58"/>
      <c r="E12" s="58"/>
      <c r="F12" s="58"/>
      <c r="G12" s="58"/>
      <c r="H12" s="58"/>
      <c r="I12" s="58" t="s">
        <v>885</v>
      </c>
      <c r="J12" s="58"/>
      <c r="K12" s="58"/>
      <c r="L12" s="58" t="s">
        <v>886</v>
      </c>
      <c r="M12" s="58"/>
      <c r="N12" s="58"/>
      <c r="O12" s="58"/>
      <c r="P12" s="59" t="s">
        <v>40</v>
      </c>
      <c r="Q12" s="59" t="s">
        <v>298</v>
      </c>
      <c r="R12" s="59">
        <v>58.32</v>
      </c>
      <c r="S12" s="59" t="s">
        <v>42</v>
      </c>
      <c r="T12" s="59">
        <v>57.79</v>
      </c>
      <c r="U12" s="60" t="str">
        <f t="shared" si="0"/>
        <v>N/A</v>
      </c>
    </row>
    <row r="13" spans="1:34" ht="75" customHeight="1" thickTop="1">
      <c r="A13" s="56"/>
      <c r="B13" s="57" t="s">
        <v>51</v>
      </c>
      <c r="C13" s="58" t="s">
        <v>887</v>
      </c>
      <c r="D13" s="58"/>
      <c r="E13" s="58"/>
      <c r="F13" s="58"/>
      <c r="G13" s="58"/>
      <c r="H13" s="58"/>
      <c r="I13" s="58" t="s">
        <v>888</v>
      </c>
      <c r="J13" s="58"/>
      <c r="K13" s="58"/>
      <c r="L13" s="58" t="s">
        <v>889</v>
      </c>
      <c r="M13" s="58"/>
      <c r="N13" s="58"/>
      <c r="O13" s="58"/>
      <c r="P13" s="59" t="s">
        <v>40</v>
      </c>
      <c r="Q13" s="59" t="s">
        <v>116</v>
      </c>
      <c r="R13" s="59">
        <v>16.440000000000001</v>
      </c>
      <c r="S13" s="59">
        <v>7.83</v>
      </c>
      <c r="T13" s="59">
        <v>8.8800000000000008</v>
      </c>
      <c r="U13" s="60">
        <f t="shared" si="0"/>
        <v>113.40996168582376</v>
      </c>
    </row>
    <row r="14" spans="1:34" ht="75" customHeight="1">
      <c r="A14" s="56"/>
      <c r="B14" s="61" t="s">
        <v>43</v>
      </c>
      <c r="C14" s="62" t="s">
        <v>890</v>
      </c>
      <c r="D14" s="62"/>
      <c r="E14" s="62"/>
      <c r="F14" s="62"/>
      <c r="G14" s="62"/>
      <c r="H14" s="62"/>
      <c r="I14" s="62" t="s">
        <v>891</v>
      </c>
      <c r="J14" s="62"/>
      <c r="K14" s="62"/>
      <c r="L14" s="62" t="s">
        <v>892</v>
      </c>
      <c r="M14" s="62"/>
      <c r="N14" s="62"/>
      <c r="O14" s="62"/>
      <c r="P14" s="63" t="s">
        <v>40</v>
      </c>
      <c r="Q14" s="63" t="s">
        <v>93</v>
      </c>
      <c r="R14" s="63">
        <v>100</v>
      </c>
      <c r="S14" s="63">
        <v>0</v>
      </c>
      <c r="T14" s="63">
        <v>0</v>
      </c>
      <c r="U14" s="65" t="str">
        <f t="shared" si="0"/>
        <v>N/A</v>
      </c>
    </row>
    <row r="15" spans="1:34" ht="75" customHeight="1">
      <c r="A15" s="56"/>
      <c r="B15" s="61" t="s">
        <v>43</v>
      </c>
      <c r="C15" s="62" t="s">
        <v>43</v>
      </c>
      <c r="D15" s="62"/>
      <c r="E15" s="62"/>
      <c r="F15" s="62"/>
      <c r="G15" s="62"/>
      <c r="H15" s="62"/>
      <c r="I15" s="62" t="s">
        <v>893</v>
      </c>
      <c r="J15" s="62"/>
      <c r="K15" s="62"/>
      <c r="L15" s="62" t="s">
        <v>894</v>
      </c>
      <c r="M15" s="62"/>
      <c r="N15" s="62"/>
      <c r="O15" s="62"/>
      <c r="P15" s="63" t="s">
        <v>40</v>
      </c>
      <c r="Q15" s="63" t="s">
        <v>41</v>
      </c>
      <c r="R15" s="63">
        <v>0.06</v>
      </c>
      <c r="S15" s="63" t="s">
        <v>42</v>
      </c>
      <c r="T15" s="63" t="s">
        <v>42</v>
      </c>
      <c r="U15" s="65" t="str">
        <f t="shared" si="0"/>
        <v>N/A</v>
      </c>
    </row>
    <row r="16" spans="1:34" ht="75" customHeight="1">
      <c r="A16" s="56"/>
      <c r="B16" s="61" t="s">
        <v>43</v>
      </c>
      <c r="C16" s="62" t="s">
        <v>895</v>
      </c>
      <c r="D16" s="62"/>
      <c r="E16" s="62"/>
      <c r="F16" s="62"/>
      <c r="G16" s="62"/>
      <c r="H16" s="62"/>
      <c r="I16" s="62" t="s">
        <v>896</v>
      </c>
      <c r="J16" s="62"/>
      <c r="K16" s="62"/>
      <c r="L16" s="62" t="s">
        <v>897</v>
      </c>
      <c r="M16" s="62"/>
      <c r="N16" s="62"/>
      <c r="O16" s="62"/>
      <c r="P16" s="63" t="s">
        <v>40</v>
      </c>
      <c r="Q16" s="63" t="s">
        <v>116</v>
      </c>
      <c r="R16" s="63">
        <v>41.65</v>
      </c>
      <c r="S16" s="63">
        <v>12.06</v>
      </c>
      <c r="T16" s="63">
        <v>7.34</v>
      </c>
      <c r="U16" s="65">
        <f t="shared" si="0"/>
        <v>60.862354892205637</v>
      </c>
    </row>
    <row r="17" spans="1:21" ht="75" customHeight="1">
      <c r="A17" s="56"/>
      <c r="B17" s="61" t="s">
        <v>43</v>
      </c>
      <c r="C17" s="62" t="s">
        <v>898</v>
      </c>
      <c r="D17" s="62"/>
      <c r="E17" s="62"/>
      <c r="F17" s="62"/>
      <c r="G17" s="62"/>
      <c r="H17" s="62"/>
      <c r="I17" s="62" t="s">
        <v>899</v>
      </c>
      <c r="J17" s="62"/>
      <c r="K17" s="62"/>
      <c r="L17" s="62" t="s">
        <v>900</v>
      </c>
      <c r="M17" s="62"/>
      <c r="N17" s="62"/>
      <c r="O17" s="62"/>
      <c r="P17" s="63" t="s">
        <v>40</v>
      </c>
      <c r="Q17" s="63" t="s">
        <v>41</v>
      </c>
      <c r="R17" s="63">
        <v>1.2</v>
      </c>
      <c r="S17" s="63" t="s">
        <v>42</v>
      </c>
      <c r="T17" s="63" t="s">
        <v>42</v>
      </c>
      <c r="U17" s="65" t="str">
        <f t="shared" si="0"/>
        <v>N/A</v>
      </c>
    </row>
    <row r="18" spans="1:21" ht="75" customHeight="1">
      <c r="A18" s="56"/>
      <c r="B18" s="61" t="s">
        <v>43</v>
      </c>
      <c r="C18" s="62" t="s">
        <v>43</v>
      </c>
      <c r="D18" s="62"/>
      <c r="E18" s="62"/>
      <c r="F18" s="62"/>
      <c r="G18" s="62"/>
      <c r="H18" s="62"/>
      <c r="I18" s="62" t="s">
        <v>901</v>
      </c>
      <c r="J18" s="62"/>
      <c r="K18" s="62"/>
      <c r="L18" s="62" t="s">
        <v>902</v>
      </c>
      <c r="M18" s="62"/>
      <c r="N18" s="62"/>
      <c r="O18" s="62"/>
      <c r="P18" s="63" t="s">
        <v>40</v>
      </c>
      <c r="Q18" s="63" t="s">
        <v>41</v>
      </c>
      <c r="R18" s="63">
        <v>0.81</v>
      </c>
      <c r="S18" s="63" t="s">
        <v>42</v>
      </c>
      <c r="T18" s="63" t="s">
        <v>42</v>
      </c>
      <c r="U18" s="65" t="str">
        <f t="shared" si="0"/>
        <v>N/A</v>
      </c>
    </row>
    <row r="19" spans="1:21" ht="75" customHeight="1">
      <c r="A19" s="56"/>
      <c r="B19" s="61" t="s">
        <v>43</v>
      </c>
      <c r="C19" s="62" t="s">
        <v>903</v>
      </c>
      <c r="D19" s="62"/>
      <c r="E19" s="62"/>
      <c r="F19" s="62"/>
      <c r="G19" s="62"/>
      <c r="H19" s="62"/>
      <c r="I19" s="62" t="s">
        <v>904</v>
      </c>
      <c r="J19" s="62"/>
      <c r="K19" s="62"/>
      <c r="L19" s="62" t="s">
        <v>905</v>
      </c>
      <c r="M19" s="62"/>
      <c r="N19" s="62"/>
      <c r="O19" s="62"/>
      <c r="P19" s="63" t="s">
        <v>40</v>
      </c>
      <c r="Q19" s="63" t="s">
        <v>93</v>
      </c>
      <c r="R19" s="63">
        <v>54.05</v>
      </c>
      <c r="S19" s="63">
        <v>15.78</v>
      </c>
      <c r="T19" s="63">
        <v>54.64</v>
      </c>
      <c r="U19" s="65">
        <f t="shared" si="0"/>
        <v>346.26108998732576</v>
      </c>
    </row>
    <row r="20" spans="1:21" ht="75" customHeight="1">
      <c r="A20" s="56"/>
      <c r="B20" s="61" t="s">
        <v>43</v>
      </c>
      <c r="C20" s="62" t="s">
        <v>906</v>
      </c>
      <c r="D20" s="62"/>
      <c r="E20" s="62"/>
      <c r="F20" s="62"/>
      <c r="G20" s="62"/>
      <c r="H20" s="62"/>
      <c r="I20" s="62" t="s">
        <v>907</v>
      </c>
      <c r="J20" s="62"/>
      <c r="K20" s="62"/>
      <c r="L20" s="62" t="s">
        <v>908</v>
      </c>
      <c r="M20" s="62"/>
      <c r="N20" s="62"/>
      <c r="O20" s="62"/>
      <c r="P20" s="63" t="s">
        <v>40</v>
      </c>
      <c r="Q20" s="63" t="s">
        <v>93</v>
      </c>
      <c r="R20" s="63">
        <v>100</v>
      </c>
      <c r="S20" s="63">
        <v>0</v>
      </c>
      <c r="T20" s="63">
        <v>3.46</v>
      </c>
      <c r="U20" s="65" t="str">
        <f t="shared" si="0"/>
        <v>N/A</v>
      </c>
    </row>
    <row r="21" spans="1:21" ht="75" customHeight="1">
      <c r="A21" s="56"/>
      <c r="B21" s="61" t="s">
        <v>43</v>
      </c>
      <c r="C21" s="62" t="s">
        <v>909</v>
      </c>
      <c r="D21" s="62"/>
      <c r="E21" s="62"/>
      <c r="F21" s="62"/>
      <c r="G21" s="62"/>
      <c r="H21" s="62"/>
      <c r="I21" s="62" t="s">
        <v>910</v>
      </c>
      <c r="J21" s="62"/>
      <c r="K21" s="62"/>
      <c r="L21" s="62" t="s">
        <v>911</v>
      </c>
      <c r="M21" s="62"/>
      <c r="N21" s="62"/>
      <c r="O21" s="62"/>
      <c r="P21" s="63" t="s">
        <v>40</v>
      </c>
      <c r="Q21" s="63" t="s">
        <v>41</v>
      </c>
      <c r="R21" s="63">
        <v>90.36</v>
      </c>
      <c r="S21" s="63" t="s">
        <v>42</v>
      </c>
      <c r="T21" s="63" t="s">
        <v>42</v>
      </c>
      <c r="U21" s="65" t="str">
        <f t="shared" si="0"/>
        <v>N/A</v>
      </c>
    </row>
    <row r="22" spans="1:21" ht="75" customHeight="1">
      <c r="A22" s="56"/>
      <c r="B22" s="61" t="s">
        <v>43</v>
      </c>
      <c r="C22" s="62" t="s">
        <v>912</v>
      </c>
      <c r="D22" s="62"/>
      <c r="E22" s="62"/>
      <c r="F22" s="62"/>
      <c r="G22" s="62"/>
      <c r="H22" s="62"/>
      <c r="I22" s="62" t="s">
        <v>913</v>
      </c>
      <c r="J22" s="62"/>
      <c r="K22" s="62"/>
      <c r="L22" s="62" t="s">
        <v>914</v>
      </c>
      <c r="M22" s="62"/>
      <c r="N22" s="62"/>
      <c r="O22" s="62"/>
      <c r="P22" s="63" t="s">
        <v>40</v>
      </c>
      <c r="Q22" s="63" t="s">
        <v>41</v>
      </c>
      <c r="R22" s="63">
        <v>34.090000000000003</v>
      </c>
      <c r="S22" s="63" t="s">
        <v>42</v>
      </c>
      <c r="T22" s="63" t="s">
        <v>42</v>
      </c>
      <c r="U22" s="65" t="str">
        <f t="shared" si="0"/>
        <v>N/A</v>
      </c>
    </row>
    <row r="23" spans="1:21" ht="75" customHeight="1">
      <c r="A23" s="56"/>
      <c r="B23" s="61" t="s">
        <v>43</v>
      </c>
      <c r="C23" s="62" t="s">
        <v>43</v>
      </c>
      <c r="D23" s="62"/>
      <c r="E23" s="62"/>
      <c r="F23" s="62"/>
      <c r="G23" s="62"/>
      <c r="H23" s="62"/>
      <c r="I23" s="62" t="s">
        <v>915</v>
      </c>
      <c r="J23" s="62"/>
      <c r="K23" s="62"/>
      <c r="L23" s="62" t="s">
        <v>916</v>
      </c>
      <c r="M23" s="62"/>
      <c r="N23" s="62"/>
      <c r="O23" s="62"/>
      <c r="P23" s="63" t="s">
        <v>40</v>
      </c>
      <c r="Q23" s="63" t="s">
        <v>41</v>
      </c>
      <c r="R23" s="63">
        <v>34.619999999999997</v>
      </c>
      <c r="S23" s="63" t="s">
        <v>42</v>
      </c>
      <c r="T23" s="63" t="s">
        <v>42</v>
      </c>
      <c r="U23" s="65" t="str">
        <f t="shared" si="0"/>
        <v>N/A</v>
      </c>
    </row>
    <row r="24" spans="1:21" ht="75" customHeight="1">
      <c r="A24" s="56"/>
      <c r="B24" s="61" t="s">
        <v>43</v>
      </c>
      <c r="C24" s="62" t="s">
        <v>917</v>
      </c>
      <c r="D24" s="62"/>
      <c r="E24" s="62"/>
      <c r="F24" s="62"/>
      <c r="G24" s="62"/>
      <c r="H24" s="62"/>
      <c r="I24" s="62" t="s">
        <v>918</v>
      </c>
      <c r="J24" s="62"/>
      <c r="K24" s="62"/>
      <c r="L24" s="62" t="s">
        <v>919</v>
      </c>
      <c r="M24" s="62"/>
      <c r="N24" s="62"/>
      <c r="O24" s="62"/>
      <c r="P24" s="63" t="s">
        <v>40</v>
      </c>
      <c r="Q24" s="63" t="s">
        <v>920</v>
      </c>
      <c r="R24" s="63">
        <v>20.75</v>
      </c>
      <c r="S24" s="63" t="s">
        <v>42</v>
      </c>
      <c r="T24" s="63" t="s">
        <v>42</v>
      </c>
      <c r="U24" s="65" t="str">
        <f t="shared" si="0"/>
        <v>N/A</v>
      </c>
    </row>
    <row r="25" spans="1:21" ht="75" customHeight="1">
      <c r="A25" s="56"/>
      <c r="B25" s="61" t="s">
        <v>43</v>
      </c>
      <c r="C25" s="62" t="s">
        <v>43</v>
      </c>
      <c r="D25" s="62"/>
      <c r="E25" s="62"/>
      <c r="F25" s="62"/>
      <c r="G25" s="62"/>
      <c r="H25" s="62"/>
      <c r="I25" s="62" t="s">
        <v>921</v>
      </c>
      <c r="J25" s="62"/>
      <c r="K25" s="62"/>
      <c r="L25" s="62" t="s">
        <v>922</v>
      </c>
      <c r="M25" s="62"/>
      <c r="N25" s="62"/>
      <c r="O25" s="62"/>
      <c r="P25" s="63" t="s">
        <v>372</v>
      </c>
      <c r="Q25" s="63" t="s">
        <v>41</v>
      </c>
      <c r="R25" s="63">
        <v>12.07</v>
      </c>
      <c r="S25" s="63" t="s">
        <v>42</v>
      </c>
      <c r="T25" s="63" t="s">
        <v>42</v>
      </c>
      <c r="U25" s="65" t="str">
        <f t="shared" si="0"/>
        <v>N/A</v>
      </c>
    </row>
    <row r="26" spans="1:21" ht="75" customHeight="1">
      <c r="A26" s="56"/>
      <c r="B26" s="61" t="s">
        <v>43</v>
      </c>
      <c r="C26" s="62" t="s">
        <v>43</v>
      </c>
      <c r="D26" s="62"/>
      <c r="E26" s="62"/>
      <c r="F26" s="62"/>
      <c r="G26" s="62"/>
      <c r="H26" s="62"/>
      <c r="I26" s="62" t="s">
        <v>923</v>
      </c>
      <c r="J26" s="62"/>
      <c r="K26" s="62"/>
      <c r="L26" s="62" t="s">
        <v>924</v>
      </c>
      <c r="M26" s="62"/>
      <c r="N26" s="62"/>
      <c r="O26" s="62"/>
      <c r="P26" s="63" t="s">
        <v>40</v>
      </c>
      <c r="Q26" s="63" t="s">
        <v>41</v>
      </c>
      <c r="R26" s="63">
        <v>68.849999999999994</v>
      </c>
      <c r="S26" s="63" t="s">
        <v>42</v>
      </c>
      <c r="T26" s="63" t="s">
        <v>42</v>
      </c>
      <c r="U26" s="65" t="str">
        <f t="shared" si="0"/>
        <v>N/A</v>
      </c>
    </row>
    <row r="27" spans="1:21" ht="75" customHeight="1">
      <c r="A27" s="56"/>
      <c r="B27" s="61" t="s">
        <v>43</v>
      </c>
      <c r="C27" s="62" t="s">
        <v>925</v>
      </c>
      <c r="D27" s="62"/>
      <c r="E27" s="62"/>
      <c r="F27" s="62"/>
      <c r="G27" s="62"/>
      <c r="H27" s="62"/>
      <c r="I27" s="62" t="s">
        <v>926</v>
      </c>
      <c r="J27" s="62"/>
      <c r="K27" s="62"/>
      <c r="L27" s="62" t="s">
        <v>927</v>
      </c>
      <c r="M27" s="62"/>
      <c r="N27" s="62"/>
      <c r="O27" s="62"/>
      <c r="P27" s="63" t="s">
        <v>40</v>
      </c>
      <c r="Q27" s="63" t="s">
        <v>41</v>
      </c>
      <c r="R27" s="63">
        <v>50.31</v>
      </c>
      <c r="S27" s="63" t="s">
        <v>42</v>
      </c>
      <c r="T27" s="63" t="s">
        <v>42</v>
      </c>
      <c r="U27" s="65" t="str">
        <f t="shared" si="0"/>
        <v>N/A</v>
      </c>
    </row>
    <row r="28" spans="1:21" ht="75" customHeight="1">
      <c r="A28" s="56"/>
      <c r="B28" s="61" t="s">
        <v>43</v>
      </c>
      <c r="C28" s="62" t="s">
        <v>928</v>
      </c>
      <c r="D28" s="62"/>
      <c r="E28" s="62"/>
      <c r="F28" s="62"/>
      <c r="G28" s="62"/>
      <c r="H28" s="62"/>
      <c r="I28" s="62" t="s">
        <v>929</v>
      </c>
      <c r="J28" s="62"/>
      <c r="K28" s="62"/>
      <c r="L28" s="62" t="s">
        <v>930</v>
      </c>
      <c r="M28" s="62"/>
      <c r="N28" s="62"/>
      <c r="O28" s="62"/>
      <c r="P28" s="63" t="s">
        <v>40</v>
      </c>
      <c r="Q28" s="63" t="s">
        <v>41</v>
      </c>
      <c r="R28" s="63">
        <v>36.31</v>
      </c>
      <c r="S28" s="63" t="s">
        <v>42</v>
      </c>
      <c r="T28" s="63" t="s">
        <v>42</v>
      </c>
      <c r="U28" s="65" t="str">
        <f t="shared" si="0"/>
        <v>N/A</v>
      </c>
    </row>
    <row r="29" spans="1:21" ht="75" customHeight="1" thickBot="1">
      <c r="A29" s="56"/>
      <c r="B29" s="61" t="s">
        <v>43</v>
      </c>
      <c r="C29" s="62" t="s">
        <v>43</v>
      </c>
      <c r="D29" s="62"/>
      <c r="E29" s="62"/>
      <c r="F29" s="62"/>
      <c r="G29" s="62"/>
      <c r="H29" s="62"/>
      <c r="I29" s="62" t="s">
        <v>931</v>
      </c>
      <c r="J29" s="62"/>
      <c r="K29" s="62"/>
      <c r="L29" s="62" t="s">
        <v>932</v>
      </c>
      <c r="M29" s="62"/>
      <c r="N29" s="62"/>
      <c r="O29" s="62"/>
      <c r="P29" s="63" t="s">
        <v>40</v>
      </c>
      <c r="Q29" s="63" t="s">
        <v>41</v>
      </c>
      <c r="R29" s="63">
        <v>100</v>
      </c>
      <c r="S29" s="63" t="s">
        <v>42</v>
      </c>
      <c r="T29" s="63" t="s">
        <v>42</v>
      </c>
      <c r="U29" s="65" t="str">
        <f t="shared" si="0"/>
        <v>N/A</v>
      </c>
    </row>
    <row r="30" spans="1:21" ht="75" customHeight="1" thickTop="1">
      <c r="A30" s="56"/>
      <c r="B30" s="57" t="s">
        <v>56</v>
      </c>
      <c r="C30" s="58" t="s">
        <v>933</v>
      </c>
      <c r="D30" s="58"/>
      <c r="E30" s="58"/>
      <c r="F30" s="58"/>
      <c r="G30" s="58"/>
      <c r="H30" s="58"/>
      <c r="I30" s="58" t="s">
        <v>934</v>
      </c>
      <c r="J30" s="58"/>
      <c r="K30" s="58"/>
      <c r="L30" s="58" t="s">
        <v>935</v>
      </c>
      <c r="M30" s="58"/>
      <c r="N30" s="58"/>
      <c r="O30" s="58"/>
      <c r="P30" s="59" t="s">
        <v>40</v>
      </c>
      <c r="Q30" s="59" t="s">
        <v>116</v>
      </c>
      <c r="R30" s="59">
        <v>100</v>
      </c>
      <c r="S30" s="59">
        <v>25</v>
      </c>
      <c r="T30" s="59">
        <v>31.65</v>
      </c>
      <c r="U30" s="60">
        <f t="shared" si="0"/>
        <v>126.6</v>
      </c>
    </row>
    <row r="31" spans="1:21" ht="75" customHeight="1">
      <c r="A31" s="56"/>
      <c r="B31" s="61" t="s">
        <v>43</v>
      </c>
      <c r="C31" s="62" t="s">
        <v>936</v>
      </c>
      <c r="D31" s="62"/>
      <c r="E31" s="62"/>
      <c r="F31" s="62"/>
      <c r="G31" s="62"/>
      <c r="H31" s="62"/>
      <c r="I31" s="62" t="s">
        <v>937</v>
      </c>
      <c r="J31" s="62"/>
      <c r="K31" s="62"/>
      <c r="L31" s="62" t="s">
        <v>938</v>
      </c>
      <c r="M31" s="62"/>
      <c r="N31" s="62"/>
      <c r="O31" s="62"/>
      <c r="P31" s="63" t="s">
        <v>40</v>
      </c>
      <c r="Q31" s="63" t="s">
        <v>116</v>
      </c>
      <c r="R31" s="63">
        <v>90.91</v>
      </c>
      <c r="S31" s="63">
        <v>0</v>
      </c>
      <c r="T31" s="63">
        <v>0</v>
      </c>
      <c r="U31" s="65" t="str">
        <f t="shared" si="0"/>
        <v>N/A</v>
      </c>
    </row>
    <row r="32" spans="1:21" ht="75" customHeight="1">
      <c r="A32" s="56"/>
      <c r="B32" s="61" t="s">
        <v>43</v>
      </c>
      <c r="C32" s="62" t="s">
        <v>939</v>
      </c>
      <c r="D32" s="62"/>
      <c r="E32" s="62"/>
      <c r="F32" s="62"/>
      <c r="G32" s="62"/>
      <c r="H32" s="62"/>
      <c r="I32" s="62" t="s">
        <v>940</v>
      </c>
      <c r="J32" s="62"/>
      <c r="K32" s="62"/>
      <c r="L32" s="62" t="s">
        <v>941</v>
      </c>
      <c r="M32" s="62"/>
      <c r="N32" s="62"/>
      <c r="O32" s="62"/>
      <c r="P32" s="63" t="s">
        <v>40</v>
      </c>
      <c r="Q32" s="63" t="s">
        <v>106</v>
      </c>
      <c r="R32" s="63">
        <v>5.32</v>
      </c>
      <c r="S32" s="63" t="s">
        <v>42</v>
      </c>
      <c r="T32" s="63" t="s">
        <v>42</v>
      </c>
      <c r="U32" s="65" t="str">
        <f t="shared" si="0"/>
        <v>N/A</v>
      </c>
    </row>
    <row r="33" spans="1:22" ht="75" customHeight="1">
      <c r="A33" s="56"/>
      <c r="B33" s="61" t="s">
        <v>43</v>
      </c>
      <c r="C33" s="62" t="s">
        <v>942</v>
      </c>
      <c r="D33" s="62"/>
      <c r="E33" s="62"/>
      <c r="F33" s="62"/>
      <c r="G33" s="62"/>
      <c r="H33" s="62"/>
      <c r="I33" s="62" t="s">
        <v>943</v>
      </c>
      <c r="J33" s="62"/>
      <c r="K33" s="62"/>
      <c r="L33" s="62" t="s">
        <v>944</v>
      </c>
      <c r="M33" s="62"/>
      <c r="N33" s="62"/>
      <c r="O33" s="62"/>
      <c r="P33" s="63" t="s">
        <v>40</v>
      </c>
      <c r="Q33" s="63" t="s">
        <v>116</v>
      </c>
      <c r="R33" s="63">
        <v>100</v>
      </c>
      <c r="S33" s="63">
        <v>30</v>
      </c>
      <c r="T33" s="63">
        <v>35.36</v>
      </c>
      <c r="U33" s="65">
        <f t="shared" si="0"/>
        <v>117.86666666666667</v>
      </c>
    </row>
    <row r="34" spans="1:22" ht="75" customHeight="1">
      <c r="A34" s="56"/>
      <c r="B34" s="61" t="s">
        <v>43</v>
      </c>
      <c r="C34" s="62" t="s">
        <v>945</v>
      </c>
      <c r="D34" s="62"/>
      <c r="E34" s="62"/>
      <c r="F34" s="62"/>
      <c r="G34" s="62"/>
      <c r="H34" s="62"/>
      <c r="I34" s="62" t="s">
        <v>946</v>
      </c>
      <c r="J34" s="62"/>
      <c r="K34" s="62"/>
      <c r="L34" s="62" t="s">
        <v>947</v>
      </c>
      <c r="M34" s="62"/>
      <c r="N34" s="62"/>
      <c r="O34" s="62"/>
      <c r="P34" s="63" t="s">
        <v>40</v>
      </c>
      <c r="Q34" s="63" t="s">
        <v>106</v>
      </c>
      <c r="R34" s="63">
        <v>26.12</v>
      </c>
      <c r="S34" s="63" t="s">
        <v>42</v>
      </c>
      <c r="T34" s="63" t="s">
        <v>42</v>
      </c>
      <c r="U34" s="65" t="str">
        <f t="shared" si="0"/>
        <v>N/A</v>
      </c>
    </row>
    <row r="35" spans="1:22" ht="75" customHeight="1">
      <c r="A35" s="56"/>
      <c r="B35" s="61" t="s">
        <v>43</v>
      </c>
      <c r="C35" s="62" t="s">
        <v>948</v>
      </c>
      <c r="D35" s="62"/>
      <c r="E35" s="62"/>
      <c r="F35" s="62"/>
      <c r="G35" s="62"/>
      <c r="H35" s="62"/>
      <c r="I35" s="62" t="s">
        <v>949</v>
      </c>
      <c r="J35" s="62"/>
      <c r="K35" s="62"/>
      <c r="L35" s="62" t="s">
        <v>950</v>
      </c>
      <c r="M35" s="62"/>
      <c r="N35" s="62"/>
      <c r="O35" s="62"/>
      <c r="P35" s="63" t="s">
        <v>40</v>
      </c>
      <c r="Q35" s="63" t="s">
        <v>106</v>
      </c>
      <c r="R35" s="63">
        <v>26.92</v>
      </c>
      <c r="S35" s="63" t="s">
        <v>42</v>
      </c>
      <c r="T35" s="63" t="s">
        <v>42</v>
      </c>
      <c r="U35" s="65" t="str">
        <f t="shared" si="0"/>
        <v>N/A</v>
      </c>
    </row>
    <row r="36" spans="1:22" ht="75" customHeight="1">
      <c r="A36" s="56"/>
      <c r="B36" s="61" t="s">
        <v>43</v>
      </c>
      <c r="C36" s="62" t="s">
        <v>951</v>
      </c>
      <c r="D36" s="62"/>
      <c r="E36" s="62"/>
      <c r="F36" s="62"/>
      <c r="G36" s="62"/>
      <c r="H36" s="62"/>
      <c r="I36" s="62" t="s">
        <v>952</v>
      </c>
      <c r="J36" s="62"/>
      <c r="K36" s="62"/>
      <c r="L36" s="62" t="s">
        <v>953</v>
      </c>
      <c r="M36" s="62"/>
      <c r="N36" s="62"/>
      <c r="O36" s="62"/>
      <c r="P36" s="63" t="s">
        <v>40</v>
      </c>
      <c r="Q36" s="63" t="s">
        <v>60</v>
      </c>
      <c r="R36" s="63">
        <v>90</v>
      </c>
      <c r="S36" s="63">
        <v>73.47</v>
      </c>
      <c r="T36" s="63">
        <v>97.13</v>
      </c>
      <c r="U36" s="65">
        <f t="shared" si="0"/>
        <v>132.20362052538451</v>
      </c>
    </row>
    <row r="37" spans="1:22" ht="75" customHeight="1">
      <c r="A37" s="56"/>
      <c r="B37" s="61" t="s">
        <v>43</v>
      </c>
      <c r="C37" s="62" t="s">
        <v>954</v>
      </c>
      <c r="D37" s="62"/>
      <c r="E37" s="62"/>
      <c r="F37" s="62"/>
      <c r="G37" s="62"/>
      <c r="H37" s="62"/>
      <c r="I37" s="62" t="s">
        <v>955</v>
      </c>
      <c r="J37" s="62"/>
      <c r="K37" s="62"/>
      <c r="L37" s="62" t="s">
        <v>956</v>
      </c>
      <c r="M37" s="62"/>
      <c r="N37" s="62"/>
      <c r="O37" s="62"/>
      <c r="P37" s="63" t="s">
        <v>40</v>
      </c>
      <c r="Q37" s="63" t="s">
        <v>60</v>
      </c>
      <c r="R37" s="63">
        <v>100</v>
      </c>
      <c r="S37" s="63">
        <v>75</v>
      </c>
      <c r="T37" s="63">
        <v>69.78</v>
      </c>
      <c r="U37" s="65">
        <f t="shared" si="0"/>
        <v>93.04</v>
      </c>
    </row>
    <row r="38" spans="1:22" ht="75" customHeight="1">
      <c r="A38" s="56"/>
      <c r="B38" s="61" t="s">
        <v>43</v>
      </c>
      <c r="C38" s="62" t="s">
        <v>957</v>
      </c>
      <c r="D38" s="62"/>
      <c r="E38" s="62"/>
      <c r="F38" s="62"/>
      <c r="G38" s="62"/>
      <c r="H38" s="62"/>
      <c r="I38" s="62" t="s">
        <v>958</v>
      </c>
      <c r="J38" s="62"/>
      <c r="K38" s="62"/>
      <c r="L38" s="62" t="s">
        <v>959</v>
      </c>
      <c r="M38" s="62"/>
      <c r="N38" s="62"/>
      <c r="O38" s="62"/>
      <c r="P38" s="63" t="s">
        <v>40</v>
      </c>
      <c r="Q38" s="63" t="s">
        <v>116</v>
      </c>
      <c r="R38" s="63">
        <v>100</v>
      </c>
      <c r="S38" s="63">
        <v>0</v>
      </c>
      <c r="T38" s="63">
        <v>67.97</v>
      </c>
      <c r="U38" s="65" t="str">
        <f t="shared" si="0"/>
        <v>N/A</v>
      </c>
    </row>
    <row r="39" spans="1:22" ht="75" customHeight="1">
      <c r="A39" s="56"/>
      <c r="B39" s="61" t="s">
        <v>43</v>
      </c>
      <c r="C39" s="62" t="s">
        <v>960</v>
      </c>
      <c r="D39" s="62"/>
      <c r="E39" s="62"/>
      <c r="F39" s="62"/>
      <c r="G39" s="62"/>
      <c r="H39" s="62"/>
      <c r="I39" s="62" t="s">
        <v>961</v>
      </c>
      <c r="J39" s="62"/>
      <c r="K39" s="62"/>
      <c r="L39" s="62" t="s">
        <v>962</v>
      </c>
      <c r="M39" s="62"/>
      <c r="N39" s="62"/>
      <c r="O39" s="62"/>
      <c r="P39" s="63" t="s">
        <v>40</v>
      </c>
      <c r="Q39" s="63" t="s">
        <v>106</v>
      </c>
      <c r="R39" s="63">
        <v>97.25</v>
      </c>
      <c r="S39" s="63" t="s">
        <v>42</v>
      </c>
      <c r="T39" s="63" t="s">
        <v>42</v>
      </c>
      <c r="U39" s="65" t="str">
        <f t="shared" si="0"/>
        <v>N/A</v>
      </c>
    </row>
    <row r="40" spans="1:22" ht="75" customHeight="1">
      <c r="A40" s="56"/>
      <c r="B40" s="61" t="s">
        <v>43</v>
      </c>
      <c r="C40" s="62" t="s">
        <v>963</v>
      </c>
      <c r="D40" s="62"/>
      <c r="E40" s="62"/>
      <c r="F40" s="62"/>
      <c r="G40" s="62"/>
      <c r="H40" s="62"/>
      <c r="I40" s="62" t="s">
        <v>964</v>
      </c>
      <c r="J40" s="62"/>
      <c r="K40" s="62"/>
      <c r="L40" s="62" t="s">
        <v>965</v>
      </c>
      <c r="M40" s="62"/>
      <c r="N40" s="62"/>
      <c r="O40" s="62"/>
      <c r="P40" s="63" t="s">
        <v>40</v>
      </c>
      <c r="Q40" s="63" t="s">
        <v>116</v>
      </c>
      <c r="R40" s="63">
        <v>86.33</v>
      </c>
      <c r="S40" s="63">
        <v>30.01</v>
      </c>
      <c r="T40" s="63">
        <v>56.63</v>
      </c>
      <c r="U40" s="65">
        <f t="shared" si="0"/>
        <v>188.7037654115295</v>
      </c>
    </row>
    <row r="41" spans="1:22" ht="75" customHeight="1">
      <c r="A41" s="56"/>
      <c r="B41" s="61" t="s">
        <v>43</v>
      </c>
      <c r="C41" s="62" t="s">
        <v>966</v>
      </c>
      <c r="D41" s="62"/>
      <c r="E41" s="62"/>
      <c r="F41" s="62"/>
      <c r="G41" s="62"/>
      <c r="H41" s="62"/>
      <c r="I41" s="62" t="s">
        <v>967</v>
      </c>
      <c r="J41" s="62"/>
      <c r="K41" s="62"/>
      <c r="L41" s="62" t="s">
        <v>968</v>
      </c>
      <c r="M41" s="62"/>
      <c r="N41" s="62"/>
      <c r="O41" s="62"/>
      <c r="P41" s="63" t="s">
        <v>40</v>
      </c>
      <c r="Q41" s="63" t="s">
        <v>116</v>
      </c>
      <c r="R41" s="63">
        <v>93.75</v>
      </c>
      <c r="S41" s="63">
        <v>0</v>
      </c>
      <c r="T41" s="63">
        <v>0</v>
      </c>
      <c r="U41" s="65" t="str">
        <f t="shared" si="0"/>
        <v>N/A</v>
      </c>
    </row>
    <row r="42" spans="1:22" ht="75" customHeight="1">
      <c r="A42" s="56"/>
      <c r="B42" s="61" t="s">
        <v>43</v>
      </c>
      <c r="C42" s="62" t="s">
        <v>969</v>
      </c>
      <c r="D42" s="62"/>
      <c r="E42" s="62"/>
      <c r="F42" s="62"/>
      <c r="G42" s="62"/>
      <c r="H42" s="62"/>
      <c r="I42" s="62" t="s">
        <v>970</v>
      </c>
      <c r="J42" s="62"/>
      <c r="K42" s="62"/>
      <c r="L42" s="62" t="s">
        <v>971</v>
      </c>
      <c r="M42" s="62"/>
      <c r="N42" s="62"/>
      <c r="O42" s="62"/>
      <c r="P42" s="63" t="s">
        <v>40</v>
      </c>
      <c r="Q42" s="63" t="s">
        <v>116</v>
      </c>
      <c r="R42" s="63">
        <v>92.95</v>
      </c>
      <c r="S42" s="63">
        <v>0</v>
      </c>
      <c r="T42" s="63">
        <v>69.94</v>
      </c>
      <c r="U42" s="65" t="str">
        <f t="shared" si="0"/>
        <v>N/A</v>
      </c>
    </row>
    <row r="43" spans="1:22" ht="75" customHeight="1">
      <c r="A43" s="56"/>
      <c r="B43" s="61" t="s">
        <v>43</v>
      </c>
      <c r="C43" s="62" t="s">
        <v>43</v>
      </c>
      <c r="D43" s="62"/>
      <c r="E43" s="62"/>
      <c r="F43" s="62"/>
      <c r="G43" s="62"/>
      <c r="H43" s="62"/>
      <c r="I43" s="62" t="s">
        <v>972</v>
      </c>
      <c r="J43" s="62"/>
      <c r="K43" s="62"/>
      <c r="L43" s="62" t="s">
        <v>973</v>
      </c>
      <c r="M43" s="62"/>
      <c r="N43" s="62"/>
      <c r="O43" s="62"/>
      <c r="P43" s="63" t="s">
        <v>40</v>
      </c>
      <c r="Q43" s="63" t="s">
        <v>116</v>
      </c>
      <c r="R43" s="63">
        <v>99.31</v>
      </c>
      <c r="S43" s="63">
        <v>0</v>
      </c>
      <c r="T43" s="63">
        <v>104.83</v>
      </c>
      <c r="U43" s="65" t="str">
        <f t="shared" si="0"/>
        <v>N/A</v>
      </c>
    </row>
    <row r="44" spans="1:22" ht="75" customHeight="1">
      <c r="A44" s="56"/>
      <c r="B44" s="61" t="s">
        <v>43</v>
      </c>
      <c r="C44" s="62" t="s">
        <v>974</v>
      </c>
      <c r="D44" s="62"/>
      <c r="E44" s="62"/>
      <c r="F44" s="62"/>
      <c r="G44" s="62"/>
      <c r="H44" s="62"/>
      <c r="I44" s="62" t="s">
        <v>975</v>
      </c>
      <c r="J44" s="62"/>
      <c r="K44" s="62"/>
      <c r="L44" s="62" t="s">
        <v>976</v>
      </c>
      <c r="M44" s="62"/>
      <c r="N44" s="62"/>
      <c r="O44" s="62"/>
      <c r="P44" s="63" t="s">
        <v>40</v>
      </c>
      <c r="Q44" s="63" t="s">
        <v>106</v>
      </c>
      <c r="R44" s="63">
        <v>100</v>
      </c>
      <c r="S44" s="63" t="s">
        <v>42</v>
      </c>
      <c r="T44" s="63" t="s">
        <v>42</v>
      </c>
      <c r="U44" s="65" t="str">
        <f t="shared" si="0"/>
        <v>N/A</v>
      </c>
    </row>
    <row r="45" spans="1:22" ht="75" customHeight="1">
      <c r="A45" s="56"/>
      <c r="B45" s="61" t="s">
        <v>43</v>
      </c>
      <c r="C45" s="62" t="s">
        <v>977</v>
      </c>
      <c r="D45" s="62"/>
      <c r="E45" s="62"/>
      <c r="F45" s="62"/>
      <c r="G45" s="62"/>
      <c r="H45" s="62"/>
      <c r="I45" s="62" t="s">
        <v>978</v>
      </c>
      <c r="J45" s="62"/>
      <c r="K45" s="62"/>
      <c r="L45" s="62" t="s">
        <v>979</v>
      </c>
      <c r="M45" s="62"/>
      <c r="N45" s="62"/>
      <c r="O45" s="62"/>
      <c r="P45" s="63" t="s">
        <v>40</v>
      </c>
      <c r="Q45" s="63" t="s">
        <v>106</v>
      </c>
      <c r="R45" s="63">
        <v>20.13</v>
      </c>
      <c r="S45" s="63" t="s">
        <v>42</v>
      </c>
      <c r="T45" s="63" t="s">
        <v>42</v>
      </c>
      <c r="U45" s="65" t="str">
        <f t="shared" si="0"/>
        <v>N/A</v>
      </c>
    </row>
    <row r="46" spans="1:22" ht="75" customHeight="1" thickBot="1">
      <c r="A46" s="56"/>
      <c r="B46" s="61" t="s">
        <v>43</v>
      </c>
      <c r="C46" s="62" t="s">
        <v>980</v>
      </c>
      <c r="D46" s="62"/>
      <c r="E46" s="62"/>
      <c r="F46" s="62"/>
      <c r="G46" s="62"/>
      <c r="H46" s="62"/>
      <c r="I46" s="62" t="s">
        <v>981</v>
      </c>
      <c r="J46" s="62"/>
      <c r="K46" s="62"/>
      <c r="L46" s="62" t="s">
        <v>982</v>
      </c>
      <c r="M46" s="62"/>
      <c r="N46" s="62"/>
      <c r="O46" s="62"/>
      <c r="P46" s="63" t="s">
        <v>40</v>
      </c>
      <c r="Q46" s="63" t="s">
        <v>106</v>
      </c>
      <c r="R46" s="63">
        <v>97.8</v>
      </c>
      <c r="S46" s="63" t="s">
        <v>42</v>
      </c>
      <c r="T46" s="63" t="s">
        <v>42</v>
      </c>
      <c r="U46" s="65" t="str">
        <f t="shared" si="0"/>
        <v>N/A</v>
      </c>
    </row>
    <row r="47" spans="1:22" ht="22.5" customHeight="1" thickTop="1" thickBot="1">
      <c r="B47" s="9" t="s">
        <v>61</v>
      </c>
      <c r="C47" s="10"/>
      <c r="D47" s="10"/>
      <c r="E47" s="10"/>
      <c r="F47" s="10"/>
      <c r="G47" s="10"/>
      <c r="H47" s="11"/>
      <c r="I47" s="11"/>
      <c r="J47" s="11"/>
      <c r="K47" s="11"/>
      <c r="L47" s="11"/>
      <c r="M47" s="11"/>
      <c r="N47" s="11"/>
      <c r="O47" s="11"/>
      <c r="P47" s="11"/>
      <c r="Q47" s="11"/>
      <c r="R47" s="11"/>
      <c r="S47" s="11"/>
      <c r="T47" s="11"/>
      <c r="U47" s="12"/>
      <c r="V47" s="66"/>
    </row>
    <row r="48" spans="1:22" ht="26.25" customHeight="1" thickTop="1">
      <c r="B48" s="67"/>
      <c r="C48" s="68"/>
      <c r="D48" s="68"/>
      <c r="E48" s="68"/>
      <c r="F48" s="68"/>
      <c r="G48" s="68"/>
      <c r="H48" s="69"/>
      <c r="I48" s="69"/>
      <c r="J48" s="69"/>
      <c r="K48" s="69"/>
      <c r="L48" s="69"/>
      <c r="M48" s="69"/>
      <c r="N48" s="69"/>
      <c r="O48" s="69"/>
      <c r="P48" s="70"/>
      <c r="Q48" s="71"/>
      <c r="R48" s="72" t="s">
        <v>62</v>
      </c>
      <c r="S48" s="40" t="s">
        <v>63</v>
      </c>
      <c r="T48" s="72" t="s">
        <v>64</v>
      </c>
      <c r="U48" s="40" t="s">
        <v>65</v>
      </c>
    </row>
    <row r="49" spans="2:21" ht="26.25" customHeight="1" thickBot="1">
      <c r="B49" s="73"/>
      <c r="C49" s="74"/>
      <c r="D49" s="74"/>
      <c r="E49" s="74"/>
      <c r="F49" s="74"/>
      <c r="G49" s="74"/>
      <c r="H49" s="75"/>
      <c r="I49" s="75"/>
      <c r="J49" s="75"/>
      <c r="K49" s="75"/>
      <c r="L49" s="75"/>
      <c r="M49" s="75"/>
      <c r="N49" s="75"/>
      <c r="O49" s="75"/>
      <c r="P49" s="76"/>
      <c r="Q49" s="77"/>
      <c r="R49" s="78" t="s">
        <v>66</v>
      </c>
      <c r="S49" s="77" t="s">
        <v>66</v>
      </c>
      <c r="T49" s="77" t="s">
        <v>66</v>
      </c>
      <c r="U49" s="77" t="s">
        <v>67</v>
      </c>
    </row>
    <row r="50" spans="2:21" ht="13.5" customHeight="1" thickBot="1">
      <c r="B50" s="79" t="s">
        <v>68</v>
      </c>
      <c r="C50" s="80"/>
      <c r="D50" s="80"/>
      <c r="E50" s="81"/>
      <c r="F50" s="81"/>
      <c r="G50" s="81"/>
      <c r="H50" s="82"/>
      <c r="I50" s="82"/>
      <c r="J50" s="82"/>
      <c r="K50" s="82"/>
      <c r="L50" s="82"/>
      <c r="M50" s="82"/>
      <c r="N50" s="82"/>
      <c r="O50" s="82"/>
      <c r="P50" s="83"/>
      <c r="Q50" s="83"/>
      <c r="R50" s="84">
        <f>15524.748578</f>
        <v>15524.748578000001</v>
      </c>
      <c r="S50" s="84">
        <f>14618.554664</f>
        <v>14618.554663999999</v>
      </c>
      <c r="T50" s="84">
        <f>14191.01771609</f>
        <v>14191.01771609</v>
      </c>
      <c r="U50" s="85">
        <f>+IF(ISERR(T50/S50*100),"N/A",T50/S50*100)</f>
        <v>97.075381542589426</v>
      </c>
    </row>
    <row r="51" spans="2:21" ht="13.5" customHeight="1" thickBot="1">
      <c r="B51" s="86" t="s">
        <v>69</v>
      </c>
      <c r="C51" s="87"/>
      <c r="D51" s="87"/>
      <c r="E51" s="88"/>
      <c r="F51" s="88"/>
      <c r="G51" s="88"/>
      <c r="H51" s="89"/>
      <c r="I51" s="89"/>
      <c r="J51" s="89"/>
      <c r="K51" s="89"/>
      <c r="L51" s="89"/>
      <c r="M51" s="89"/>
      <c r="N51" s="89"/>
      <c r="O51" s="89"/>
      <c r="P51" s="90"/>
      <c r="Q51" s="90"/>
      <c r="R51" s="84">
        <f>15211.55825041</f>
        <v>15211.55825041</v>
      </c>
      <c r="S51" s="84">
        <f>14821.67380759</f>
        <v>14821.673807589999</v>
      </c>
      <c r="T51" s="84">
        <f>14191.01771609</f>
        <v>14191.01771609</v>
      </c>
      <c r="U51" s="85">
        <f>+IF(ISERR(T51/S51*100),"N/A",T51/S51*100)</f>
        <v>95.745041351692365</v>
      </c>
    </row>
    <row r="52" spans="2:21" ht="14.85" customHeight="1" thickTop="1" thickBot="1">
      <c r="B52" s="9" t="s">
        <v>70</v>
      </c>
      <c r="C52" s="10"/>
      <c r="D52" s="10"/>
      <c r="E52" s="10"/>
      <c r="F52" s="10"/>
      <c r="G52" s="10"/>
      <c r="H52" s="11"/>
      <c r="I52" s="11"/>
      <c r="J52" s="11"/>
      <c r="K52" s="11"/>
      <c r="L52" s="11"/>
      <c r="M52" s="11"/>
      <c r="N52" s="11"/>
      <c r="O52" s="11"/>
      <c r="P52" s="11"/>
      <c r="Q52" s="11"/>
      <c r="R52" s="11"/>
      <c r="S52" s="11"/>
      <c r="T52" s="11"/>
      <c r="U52" s="12"/>
    </row>
    <row r="53" spans="2:21" ht="44.25" customHeight="1" thickTop="1">
      <c r="B53" s="91" t="s">
        <v>71</v>
      </c>
      <c r="C53" s="93"/>
      <c r="D53" s="93"/>
      <c r="E53" s="93"/>
      <c r="F53" s="93"/>
      <c r="G53" s="93"/>
      <c r="H53" s="93"/>
      <c r="I53" s="93"/>
      <c r="J53" s="93"/>
      <c r="K53" s="93"/>
      <c r="L53" s="93"/>
      <c r="M53" s="93"/>
      <c r="N53" s="93"/>
      <c r="O53" s="93"/>
      <c r="P53" s="93"/>
      <c r="Q53" s="93"/>
      <c r="R53" s="93"/>
      <c r="S53" s="93"/>
      <c r="T53" s="93"/>
      <c r="U53" s="92"/>
    </row>
    <row r="54" spans="2:21" ht="34.5" customHeight="1">
      <c r="B54" s="94" t="s">
        <v>73</v>
      </c>
      <c r="C54" s="96"/>
      <c r="D54" s="96"/>
      <c r="E54" s="96"/>
      <c r="F54" s="96"/>
      <c r="G54" s="96"/>
      <c r="H54" s="96"/>
      <c r="I54" s="96"/>
      <c r="J54" s="96"/>
      <c r="K54" s="96"/>
      <c r="L54" s="96"/>
      <c r="M54" s="96"/>
      <c r="N54" s="96"/>
      <c r="O54" s="96"/>
      <c r="P54" s="96"/>
      <c r="Q54" s="96"/>
      <c r="R54" s="96"/>
      <c r="S54" s="96"/>
      <c r="T54" s="96"/>
      <c r="U54" s="95"/>
    </row>
    <row r="55" spans="2:21" ht="34.5" customHeight="1">
      <c r="B55" s="94" t="s">
        <v>983</v>
      </c>
      <c r="C55" s="96"/>
      <c r="D55" s="96"/>
      <c r="E55" s="96"/>
      <c r="F55" s="96"/>
      <c r="G55" s="96"/>
      <c r="H55" s="96"/>
      <c r="I55" s="96"/>
      <c r="J55" s="96"/>
      <c r="K55" s="96"/>
      <c r="L55" s="96"/>
      <c r="M55" s="96"/>
      <c r="N55" s="96"/>
      <c r="O55" s="96"/>
      <c r="P55" s="96"/>
      <c r="Q55" s="96"/>
      <c r="R55" s="96"/>
      <c r="S55" s="96"/>
      <c r="T55" s="96"/>
      <c r="U55" s="95"/>
    </row>
    <row r="56" spans="2:21" ht="40.35" customHeight="1">
      <c r="B56" s="94" t="s">
        <v>984</v>
      </c>
      <c r="C56" s="96"/>
      <c r="D56" s="96"/>
      <c r="E56" s="96"/>
      <c r="F56" s="96"/>
      <c r="G56" s="96"/>
      <c r="H56" s="96"/>
      <c r="I56" s="96"/>
      <c r="J56" s="96"/>
      <c r="K56" s="96"/>
      <c r="L56" s="96"/>
      <c r="M56" s="96"/>
      <c r="N56" s="96"/>
      <c r="O56" s="96"/>
      <c r="P56" s="96"/>
      <c r="Q56" s="96"/>
      <c r="R56" s="96"/>
      <c r="S56" s="96"/>
      <c r="T56" s="96"/>
      <c r="U56" s="95"/>
    </row>
    <row r="57" spans="2:21" ht="34.5" customHeight="1">
      <c r="B57" s="94" t="s">
        <v>985</v>
      </c>
      <c r="C57" s="96"/>
      <c r="D57" s="96"/>
      <c r="E57" s="96"/>
      <c r="F57" s="96"/>
      <c r="G57" s="96"/>
      <c r="H57" s="96"/>
      <c r="I57" s="96"/>
      <c r="J57" s="96"/>
      <c r="K57" s="96"/>
      <c r="L57" s="96"/>
      <c r="M57" s="96"/>
      <c r="N57" s="96"/>
      <c r="O57" s="96"/>
      <c r="P57" s="96"/>
      <c r="Q57" s="96"/>
      <c r="R57" s="96"/>
      <c r="S57" s="96"/>
      <c r="T57" s="96"/>
      <c r="U57" s="95"/>
    </row>
    <row r="58" spans="2:21" ht="18.2" customHeight="1">
      <c r="B58" s="94" t="s">
        <v>986</v>
      </c>
      <c r="C58" s="96"/>
      <c r="D58" s="96"/>
      <c r="E58" s="96"/>
      <c r="F58" s="96"/>
      <c r="G58" s="96"/>
      <c r="H58" s="96"/>
      <c r="I58" s="96"/>
      <c r="J58" s="96"/>
      <c r="K58" s="96"/>
      <c r="L58" s="96"/>
      <c r="M58" s="96"/>
      <c r="N58" s="96"/>
      <c r="O58" s="96"/>
      <c r="P58" s="96"/>
      <c r="Q58" s="96"/>
      <c r="R58" s="96"/>
      <c r="S58" s="96"/>
      <c r="T58" s="96"/>
      <c r="U58" s="95"/>
    </row>
    <row r="59" spans="2:21" ht="80.849999999999994" customHeight="1">
      <c r="B59" s="94" t="s">
        <v>987</v>
      </c>
      <c r="C59" s="96"/>
      <c r="D59" s="96"/>
      <c r="E59" s="96"/>
      <c r="F59" s="96"/>
      <c r="G59" s="96"/>
      <c r="H59" s="96"/>
      <c r="I59" s="96"/>
      <c r="J59" s="96"/>
      <c r="K59" s="96"/>
      <c r="L59" s="96"/>
      <c r="M59" s="96"/>
      <c r="N59" s="96"/>
      <c r="O59" s="96"/>
      <c r="P59" s="96"/>
      <c r="Q59" s="96"/>
      <c r="R59" s="96"/>
      <c r="S59" s="96"/>
      <c r="T59" s="96"/>
      <c r="U59" s="95"/>
    </row>
    <row r="60" spans="2:21" ht="16.5" customHeight="1">
      <c r="B60" s="94" t="s">
        <v>988</v>
      </c>
      <c r="C60" s="96"/>
      <c r="D60" s="96"/>
      <c r="E60" s="96"/>
      <c r="F60" s="96"/>
      <c r="G60" s="96"/>
      <c r="H60" s="96"/>
      <c r="I60" s="96"/>
      <c r="J60" s="96"/>
      <c r="K60" s="96"/>
      <c r="L60" s="96"/>
      <c r="M60" s="96"/>
      <c r="N60" s="96"/>
      <c r="O60" s="96"/>
      <c r="P60" s="96"/>
      <c r="Q60" s="96"/>
      <c r="R60" s="96"/>
      <c r="S60" s="96"/>
      <c r="T60" s="96"/>
      <c r="U60" s="95"/>
    </row>
    <row r="61" spans="2:21" ht="19.5" customHeight="1">
      <c r="B61" s="94" t="s">
        <v>989</v>
      </c>
      <c r="C61" s="96"/>
      <c r="D61" s="96"/>
      <c r="E61" s="96"/>
      <c r="F61" s="96"/>
      <c r="G61" s="96"/>
      <c r="H61" s="96"/>
      <c r="I61" s="96"/>
      <c r="J61" s="96"/>
      <c r="K61" s="96"/>
      <c r="L61" s="96"/>
      <c r="M61" s="96"/>
      <c r="N61" s="96"/>
      <c r="O61" s="96"/>
      <c r="P61" s="96"/>
      <c r="Q61" s="96"/>
      <c r="R61" s="96"/>
      <c r="S61" s="96"/>
      <c r="T61" s="96"/>
      <c r="U61" s="95"/>
    </row>
    <row r="62" spans="2:21" ht="48" customHeight="1">
      <c r="B62" s="94" t="s">
        <v>990</v>
      </c>
      <c r="C62" s="96"/>
      <c r="D62" s="96"/>
      <c r="E62" s="96"/>
      <c r="F62" s="96"/>
      <c r="G62" s="96"/>
      <c r="H62" s="96"/>
      <c r="I62" s="96"/>
      <c r="J62" s="96"/>
      <c r="K62" s="96"/>
      <c r="L62" s="96"/>
      <c r="M62" s="96"/>
      <c r="N62" s="96"/>
      <c r="O62" s="96"/>
      <c r="P62" s="96"/>
      <c r="Q62" s="96"/>
      <c r="R62" s="96"/>
      <c r="S62" s="96"/>
      <c r="T62" s="96"/>
      <c r="U62" s="95"/>
    </row>
    <row r="63" spans="2:21" ht="39" customHeight="1">
      <c r="B63" s="94" t="s">
        <v>991</v>
      </c>
      <c r="C63" s="96"/>
      <c r="D63" s="96"/>
      <c r="E63" s="96"/>
      <c r="F63" s="96"/>
      <c r="G63" s="96"/>
      <c r="H63" s="96"/>
      <c r="I63" s="96"/>
      <c r="J63" s="96"/>
      <c r="K63" s="96"/>
      <c r="L63" s="96"/>
      <c r="M63" s="96"/>
      <c r="N63" s="96"/>
      <c r="O63" s="96"/>
      <c r="P63" s="96"/>
      <c r="Q63" s="96"/>
      <c r="R63" s="96"/>
      <c r="S63" s="96"/>
      <c r="T63" s="96"/>
      <c r="U63" s="95"/>
    </row>
    <row r="64" spans="2:21" ht="22.5" customHeight="1">
      <c r="B64" s="94" t="s">
        <v>992</v>
      </c>
      <c r="C64" s="96"/>
      <c r="D64" s="96"/>
      <c r="E64" s="96"/>
      <c r="F64" s="96"/>
      <c r="G64" s="96"/>
      <c r="H64" s="96"/>
      <c r="I64" s="96"/>
      <c r="J64" s="96"/>
      <c r="K64" s="96"/>
      <c r="L64" s="96"/>
      <c r="M64" s="96"/>
      <c r="N64" s="96"/>
      <c r="O64" s="96"/>
      <c r="P64" s="96"/>
      <c r="Q64" s="96"/>
      <c r="R64" s="96"/>
      <c r="S64" s="96"/>
      <c r="T64" s="96"/>
      <c r="U64" s="95"/>
    </row>
    <row r="65" spans="2:21" ht="34.5" customHeight="1">
      <c r="B65" s="94" t="s">
        <v>993</v>
      </c>
      <c r="C65" s="96"/>
      <c r="D65" s="96"/>
      <c r="E65" s="96"/>
      <c r="F65" s="96"/>
      <c r="G65" s="96"/>
      <c r="H65" s="96"/>
      <c r="I65" s="96"/>
      <c r="J65" s="96"/>
      <c r="K65" s="96"/>
      <c r="L65" s="96"/>
      <c r="M65" s="96"/>
      <c r="N65" s="96"/>
      <c r="O65" s="96"/>
      <c r="P65" s="96"/>
      <c r="Q65" s="96"/>
      <c r="R65" s="96"/>
      <c r="S65" s="96"/>
      <c r="T65" s="96"/>
      <c r="U65" s="95"/>
    </row>
    <row r="66" spans="2:21" ht="34.5" customHeight="1">
      <c r="B66" s="94" t="s">
        <v>994</v>
      </c>
      <c r="C66" s="96"/>
      <c r="D66" s="96"/>
      <c r="E66" s="96"/>
      <c r="F66" s="96"/>
      <c r="G66" s="96"/>
      <c r="H66" s="96"/>
      <c r="I66" s="96"/>
      <c r="J66" s="96"/>
      <c r="K66" s="96"/>
      <c r="L66" s="96"/>
      <c r="M66" s="96"/>
      <c r="N66" s="96"/>
      <c r="O66" s="96"/>
      <c r="P66" s="96"/>
      <c r="Q66" s="96"/>
      <c r="R66" s="96"/>
      <c r="S66" s="96"/>
      <c r="T66" s="96"/>
      <c r="U66" s="95"/>
    </row>
    <row r="67" spans="2:21" ht="34.5" customHeight="1">
      <c r="B67" s="94" t="s">
        <v>995</v>
      </c>
      <c r="C67" s="96"/>
      <c r="D67" s="96"/>
      <c r="E67" s="96"/>
      <c r="F67" s="96"/>
      <c r="G67" s="96"/>
      <c r="H67" s="96"/>
      <c r="I67" s="96"/>
      <c r="J67" s="96"/>
      <c r="K67" s="96"/>
      <c r="L67" s="96"/>
      <c r="M67" s="96"/>
      <c r="N67" s="96"/>
      <c r="O67" s="96"/>
      <c r="P67" s="96"/>
      <c r="Q67" s="96"/>
      <c r="R67" s="96"/>
      <c r="S67" s="96"/>
      <c r="T67" s="96"/>
      <c r="U67" s="95"/>
    </row>
    <row r="68" spans="2:21" ht="34.5" customHeight="1">
      <c r="B68" s="94" t="s">
        <v>996</v>
      </c>
      <c r="C68" s="96"/>
      <c r="D68" s="96"/>
      <c r="E68" s="96"/>
      <c r="F68" s="96"/>
      <c r="G68" s="96"/>
      <c r="H68" s="96"/>
      <c r="I68" s="96"/>
      <c r="J68" s="96"/>
      <c r="K68" s="96"/>
      <c r="L68" s="96"/>
      <c r="M68" s="96"/>
      <c r="N68" s="96"/>
      <c r="O68" s="96"/>
      <c r="P68" s="96"/>
      <c r="Q68" s="96"/>
      <c r="R68" s="96"/>
      <c r="S68" s="96"/>
      <c r="T68" s="96"/>
      <c r="U68" s="95"/>
    </row>
    <row r="69" spans="2:21" ht="34.5" customHeight="1">
      <c r="B69" s="94" t="s">
        <v>997</v>
      </c>
      <c r="C69" s="96"/>
      <c r="D69" s="96"/>
      <c r="E69" s="96"/>
      <c r="F69" s="96"/>
      <c r="G69" s="96"/>
      <c r="H69" s="96"/>
      <c r="I69" s="96"/>
      <c r="J69" s="96"/>
      <c r="K69" s="96"/>
      <c r="L69" s="96"/>
      <c r="M69" s="96"/>
      <c r="N69" s="96"/>
      <c r="O69" s="96"/>
      <c r="P69" s="96"/>
      <c r="Q69" s="96"/>
      <c r="R69" s="96"/>
      <c r="S69" s="96"/>
      <c r="T69" s="96"/>
      <c r="U69" s="95"/>
    </row>
    <row r="70" spans="2:21" ht="34.5" customHeight="1">
      <c r="B70" s="94" t="s">
        <v>998</v>
      </c>
      <c r="C70" s="96"/>
      <c r="D70" s="96"/>
      <c r="E70" s="96"/>
      <c r="F70" s="96"/>
      <c r="G70" s="96"/>
      <c r="H70" s="96"/>
      <c r="I70" s="96"/>
      <c r="J70" s="96"/>
      <c r="K70" s="96"/>
      <c r="L70" s="96"/>
      <c r="M70" s="96"/>
      <c r="N70" s="96"/>
      <c r="O70" s="96"/>
      <c r="P70" s="96"/>
      <c r="Q70" s="96"/>
      <c r="R70" s="96"/>
      <c r="S70" s="96"/>
      <c r="T70" s="96"/>
      <c r="U70" s="95"/>
    </row>
    <row r="71" spans="2:21" ht="34.5" customHeight="1">
      <c r="B71" s="94" t="s">
        <v>999</v>
      </c>
      <c r="C71" s="96"/>
      <c r="D71" s="96"/>
      <c r="E71" s="96"/>
      <c r="F71" s="96"/>
      <c r="G71" s="96"/>
      <c r="H71" s="96"/>
      <c r="I71" s="96"/>
      <c r="J71" s="96"/>
      <c r="K71" s="96"/>
      <c r="L71" s="96"/>
      <c r="M71" s="96"/>
      <c r="N71" s="96"/>
      <c r="O71" s="96"/>
      <c r="P71" s="96"/>
      <c r="Q71" s="96"/>
      <c r="R71" s="96"/>
      <c r="S71" s="96"/>
      <c r="T71" s="96"/>
      <c r="U71" s="95"/>
    </row>
    <row r="72" spans="2:21" ht="34.5" customHeight="1">
      <c r="B72" s="94" t="s">
        <v>1000</v>
      </c>
      <c r="C72" s="96"/>
      <c r="D72" s="96"/>
      <c r="E72" s="96"/>
      <c r="F72" s="96"/>
      <c r="G72" s="96"/>
      <c r="H72" s="96"/>
      <c r="I72" s="96"/>
      <c r="J72" s="96"/>
      <c r="K72" s="96"/>
      <c r="L72" s="96"/>
      <c r="M72" s="96"/>
      <c r="N72" s="96"/>
      <c r="O72" s="96"/>
      <c r="P72" s="96"/>
      <c r="Q72" s="96"/>
      <c r="R72" s="96"/>
      <c r="S72" s="96"/>
      <c r="T72" s="96"/>
      <c r="U72" s="95"/>
    </row>
    <row r="73" spans="2:21" ht="33.950000000000003" customHeight="1">
      <c r="B73" s="94" t="s">
        <v>1001</v>
      </c>
      <c r="C73" s="96"/>
      <c r="D73" s="96"/>
      <c r="E73" s="96"/>
      <c r="F73" s="96"/>
      <c r="G73" s="96"/>
      <c r="H73" s="96"/>
      <c r="I73" s="96"/>
      <c r="J73" s="96"/>
      <c r="K73" s="96"/>
      <c r="L73" s="96"/>
      <c r="M73" s="96"/>
      <c r="N73" s="96"/>
      <c r="O73" s="96"/>
      <c r="P73" s="96"/>
      <c r="Q73" s="96"/>
      <c r="R73" s="96"/>
      <c r="S73" s="96"/>
      <c r="T73" s="96"/>
      <c r="U73" s="95"/>
    </row>
    <row r="74" spans="2:21" ht="34.5" customHeight="1">
      <c r="B74" s="94" t="s">
        <v>1002</v>
      </c>
      <c r="C74" s="96"/>
      <c r="D74" s="96"/>
      <c r="E74" s="96"/>
      <c r="F74" s="96"/>
      <c r="G74" s="96"/>
      <c r="H74" s="96"/>
      <c r="I74" s="96"/>
      <c r="J74" s="96"/>
      <c r="K74" s="96"/>
      <c r="L74" s="96"/>
      <c r="M74" s="96"/>
      <c r="N74" s="96"/>
      <c r="O74" s="96"/>
      <c r="P74" s="96"/>
      <c r="Q74" s="96"/>
      <c r="R74" s="96"/>
      <c r="S74" s="96"/>
      <c r="T74" s="96"/>
      <c r="U74" s="95"/>
    </row>
    <row r="75" spans="2:21" ht="34.5" customHeight="1">
      <c r="B75" s="94" t="s">
        <v>1003</v>
      </c>
      <c r="C75" s="96"/>
      <c r="D75" s="96"/>
      <c r="E75" s="96"/>
      <c r="F75" s="96"/>
      <c r="G75" s="96"/>
      <c r="H75" s="96"/>
      <c r="I75" s="96"/>
      <c r="J75" s="96"/>
      <c r="K75" s="96"/>
      <c r="L75" s="96"/>
      <c r="M75" s="96"/>
      <c r="N75" s="96"/>
      <c r="O75" s="96"/>
      <c r="P75" s="96"/>
      <c r="Q75" s="96"/>
      <c r="R75" s="96"/>
      <c r="S75" s="96"/>
      <c r="T75" s="96"/>
      <c r="U75" s="95"/>
    </row>
    <row r="76" spans="2:21" ht="60.2" customHeight="1">
      <c r="B76" s="94" t="s">
        <v>1004</v>
      </c>
      <c r="C76" s="96"/>
      <c r="D76" s="96"/>
      <c r="E76" s="96"/>
      <c r="F76" s="96"/>
      <c r="G76" s="96"/>
      <c r="H76" s="96"/>
      <c r="I76" s="96"/>
      <c r="J76" s="96"/>
      <c r="K76" s="96"/>
      <c r="L76" s="96"/>
      <c r="M76" s="96"/>
      <c r="N76" s="96"/>
      <c r="O76" s="96"/>
      <c r="P76" s="96"/>
      <c r="Q76" s="96"/>
      <c r="R76" s="96"/>
      <c r="S76" s="96"/>
      <c r="T76" s="96"/>
      <c r="U76" s="95"/>
    </row>
    <row r="77" spans="2:21" ht="34.5" customHeight="1">
      <c r="B77" s="94" t="s">
        <v>1005</v>
      </c>
      <c r="C77" s="96"/>
      <c r="D77" s="96"/>
      <c r="E77" s="96"/>
      <c r="F77" s="96"/>
      <c r="G77" s="96"/>
      <c r="H77" s="96"/>
      <c r="I77" s="96"/>
      <c r="J77" s="96"/>
      <c r="K77" s="96"/>
      <c r="L77" s="96"/>
      <c r="M77" s="96"/>
      <c r="N77" s="96"/>
      <c r="O77" s="96"/>
      <c r="P77" s="96"/>
      <c r="Q77" s="96"/>
      <c r="R77" s="96"/>
      <c r="S77" s="96"/>
      <c r="T77" s="96"/>
      <c r="U77" s="95"/>
    </row>
    <row r="78" spans="2:21" ht="34.5" customHeight="1">
      <c r="B78" s="94" t="s">
        <v>1006</v>
      </c>
      <c r="C78" s="96"/>
      <c r="D78" s="96"/>
      <c r="E78" s="96"/>
      <c r="F78" s="96"/>
      <c r="G78" s="96"/>
      <c r="H78" s="96"/>
      <c r="I78" s="96"/>
      <c r="J78" s="96"/>
      <c r="K78" s="96"/>
      <c r="L78" s="96"/>
      <c r="M78" s="96"/>
      <c r="N78" s="96"/>
      <c r="O78" s="96"/>
      <c r="P78" s="96"/>
      <c r="Q78" s="96"/>
      <c r="R78" s="96"/>
      <c r="S78" s="96"/>
      <c r="T78" s="96"/>
      <c r="U78" s="95"/>
    </row>
    <row r="79" spans="2:21" ht="49.35" customHeight="1">
      <c r="B79" s="94" t="s">
        <v>1007</v>
      </c>
      <c r="C79" s="96"/>
      <c r="D79" s="96"/>
      <c r="E79" s="96"/>
      <c r="F79" s="96"/>
      <c r="G79" s="96"/>
      <c r="H79" s="96"/>
      <c r="I79" s="96"/>
      <c r="J79" s="96"/>
      <c r="K79" s="96"/>
      <c r="L79" s="96"/>
      <c r="M79" s="96"/>
      <c r="N79" s="96"/>
      <c r="O79" s="96"/>
      <c r="P79" s="96"/>
      <c r="Q79" s="96"/>
      <c r="R79" s="96"/>
      <c r="S79" s="96"/>
      <c r="T79" s="96"/>
      <c r="U79" s="95"/>
    </row>
    <row r="80" spans="2:21" ht="43.7" customHeight="1">
      <c r="B80" s="94" t="s">
        <v>1008</v>
      </c>
      <c r="C80" s="96"/>
      <c r="D80" s="96"/>
      <c r="E80" s="96"/>
      <c r="F80" s="96"/>
      <c r="G80" s="96"/>
      <c r="H80" s="96"/>
      <c r="I80" s="96"/>
      <c r="J80" s="96"/>
      <c r="K80" s="96"/>
      <c r="L80" s="96"/>
      <c r="M80" s="96"/>
      <c r="N80" s="96"/>
      <c r="O80" s="96"/>
      <c r="P80" s="96"/>
      <c r="Q80" s="96"/>
      <c r="R80" s="96"/>
      <c r="S80" s="96"/>
      <c r="T80" s="96"/>
      <c r="U80" s="95"/>
    </row>
    <row r="81" spans="2:21" ht="47.45" customHeight="1">
      <c r="B81" s="94" t="s">
        <v>1009</v>
      </c>
      <c r="C81" s="96"/>
      <c r="D81" s="96"/>
      <c r="E81" s="96"/>
      <c r="F81" s="96"/>
      <c r="G81" s="96"/>
      <c r="H81" s="96"/>
      <c r="I81" s="96"/>
      <c r="J81" s="96"/>
      <c r="K81" s="96"/>
      <c r="L81" s="96"/>
      <c r="M81" s="96"/>
      <c r="N81" s="96"/>
      <c r="O81" s="96"/>
      <c r="P81" s="96"/>
      <c r="Q81" s="96"/>
      <c r="R81" s="96"/>
      <c r="S81" s="96"/>
      <c r="T81" s="96"/>
      <c r="U81" s="95"/>
    </row>
    <row r="82" spans="2:21" ht="34.5" customHeight="1">
      <c r="B82" s="94" t="s">
        <v>1010</v>
      </c>
      <c r="C82" s="96"/>
      <c r="D82" s="96"/>
      <c r="E82" s="96"/>
      <c r="F82" s="96"/>
      <c r="G82" s="96"/>
      <c r="H82" s="96"/>
      <c r="I82" s="96"/>
      <c r="J82" s="96"/>
      <c r="K82" s="96"/>
      <c r="L82" s="96"/>
      <c r="M82" s="96"/>
      <c r="N82" s="96"/>
      <c r="O82" s="96"/>
      <c r="P82" s="96"/>
      <c r="Q82" s="96"/>
      <c r="R82" s="96"/>
      <c r="S82" s="96"/>
      <c r="T82" s="96"/>
      <c r="U82" s="95"/>
    </row>
    <row r="83" spans="2:21" ht="60.75" customHeight="1">
      <c r="B83" s="94" t="s">
        <v>1011</v>
      </c>
      <c r="C83" s="96"/>
      <c r="D83" s="96"/>
      <c r="E83" s="96"/>
      <c r="F83" s="96"/>
      <c r="G83" s="96"/>
      <c r="H83" s="96"/>
      <c r="I83" s="96"/>
      <c r="J83" s="96"/>
      <c r="K83" s="96"/>
      <c r="L83" s="96"/>
      <c r="M83" s="96"/>
      <c r="N83" s="96"/>
      <c r="O83" s="96"/>
      <c r="P83" s="96"/>
      <c r="Q83" s="96"/>
      <c r="R83" s="96"/>
      <c r="S83" s="96"/>
      <c r="T83" s="96"/>
      <c r="U83" s="95"/>
    </row>
    <row r="84" spans="2:21" ht="34.5" customHeight="1">
      <c r="B84" s="94" t="s">
        <v>1012</v>
      </c>
      <c r="C84" s="96"/>
      <c r="D84" s="96"/>
      <c r="E84" s="96"/>
      <c r="F84" s="96"/>
      <c r="G84" s="96"/>
      <c r="H84" s="96"/>
      <c r="I84" s="96"/>
      <c r="J84" s="96"/>
      <c r="K84" s="96"/>
      <c r="L84" s="96"/>
      <c r="M84" s="96"/>
      <c r="N84" s="96"/>
      <c r="O84" s="96"/>
      <c r="P84" s="96"/>
      <c r="Q84" s="96"/>
      <c r="R84" s="96"/>
      <c r="S84" s="96"/>
      <c r="T84" s="96"/>
      <c r="U84" s="95"/>
    </row>
    <row r="85" spans="2:21" ht="66.599999999999994" customHeight="1">
      <c r="B85" s="94" t="s">
        <v>1013</v>
      </c>
      <c r="C85" s="96"/>
      <c r="D85" s="96"/>
      <c r="E85" s="96"/>
      <c r="F85" s="96"/>
      <c r="G85" s="96"/>
      <c r="H85" s="96"/>
      <c r="I85" s="96"/>
      <c r="J85" s="96"/>
      <c r="K85" s="96"/>
      <c r="L85" s="96"/>
      <c r="M85" s="96"/>
      <c r="N85" s="96"/>
      <c r="O85" s="96"/>
      <c r="P85" s="96"/>
      <c r="Q85" s="96"/>
      <c r="R85" s="96"/>
      <c r="S85" s="96"/>
      <c r="T85" s="96"/>
      <c r="U85" s="95"/>
    </row>
    <row r="86" spans="2:21" ht="68.849999999999994" customHeight="1">
      <c r="B86" s="94" t="s">
        <v>1014</v>
      </c>
      <c r="C86" s="96"/>
      <c r="D86" s="96"/>
      <c r="E86" s="96"/>
      <c r="F86" s="96"/>
      <c r="G86" s="96"/>
      <c r="H86" s="96"/>
      <c r="I86" s="96"/>
      <c r="J86" s="96"/>
      <c r="K86" s="96"/>
      <c r="L86" s="96"/>
      <c r="M86" s="96"/>
      <c r="N86" s="96"/>
      <c r="O86" s="96"/>
      <c r="P86" s="96"/>
      <c r="Q86" s="96"/>
      <c r="R86" s="96"/>
      <c r="S86" s="96"/>
      <c r="T86" s="96"/>
      <c r="U86" s="95"/>
    </row>
    <row r="87" spans="2:21" ht="34.5" customHeight="1">
      <c r="B87" s="94" t="s">
        <v>1015</v>
      </c>
      <c r="C87" s="96"/>
      <c r="D87" s="96"/>
      <c r="E87" s="96"/>
      <c r="F87" s="96"/>
      <c r="G87" s="96"/>
      <c r="H87" s="96"/>
      <c r="I87" s="96"/>
      <c r="J87" s="96"/>
      <c r="K87" s="96"/>
      <c r="L87" s="96"/>
      <c r="M87" s="96"/>
      <c r="N87" s="96"/>
      <c r="O87" s="96"/>
      <c r="P87" s="96"/>
      <c r="Q87" s="96"/>
      <c r="R87" s="96"/>
      <c r="S87" s="96"/>
      <c r="T87" s="96"/>
      <c r="U87" s="95"/>
    </row>
    <row r="88" spans="2:21" ht="34.5" customHeight="1">
      <c r="B88" s="94" t="s">
        <v>1016</v>
      </c>
      <c r="C88" s="96"/>
      <c r="D88" s="96"/>
      <c r="E88" s="96"/>
      <c r="F88" s="96"/>
      <c r="G88" s="96"/>
      <c r="H88" s="96"/>
      <c r="I88" s="96"/>
      <c r="J88" s="96"/>
      <c r="K88" s="96"/>
      <c r="L88" s="96"/>
      <c r="M88" s="96"/>
      <c r="N88" s="96"/>
      <c r="O88" s="96"/>
      <c r="P88" s="96"/>
      <c r="Q88" s="96"/>
      <c r="R88" s="96"/>
      <c r="S88" s="96"/>
      <c r="T88" s="96"/>
      <c r="U88" s="95"/>
    </row>
    <row r="89" spans="2:21" ht="34.5" customHeight="1" thickBot="1">
      <c r="B89" s="97" t="s">
        <v>1017</v>
      </c>
      <c r="C89" s="99"/>
      <c r="D89" s="99"/>
      <c r="E89" s="99"/>
      <c r="F89" s="99"/>
      <c r="G89" s="99"/>
      <c r="H89" s="99"/>
      <c r="I89" s="99"/>
      <c r="J89" s="99"/>
      <c r="K89" s="99"/>
      <c r="L89" s="99"/>
      <c r="M89" s="99"/>
      <c r="N89" s="99"/>
      <c r="O89" s="99"/>
      <c r="P89" s="99"/>
      <c r="Q89" s="99"/>
      <c r="R89" s="99"/>
      <c r="S89" s="99"/>
      <c r="T89" s="99"/>
      <c r="U89" s="98"/>
    </row>
  </sheetData>
  <mergeCells count="168">
    <mergeCell ref="B84:U84"/>
    <mergeCell ref="B85:U85"/>
    <mergeCell ref="B86:U86"/>
    <mergeCell ref="B87:U87"/>
    <mergeCell ref="B88:U88"/>
    <mergeCell ref="B89:U89"/>
    <mergeCell ref="B78:U78"/>
    <mergeCell ref="B79:U79"/>
    <mergeCell ref="B80:U80"/>
    <mergeCell ref="B81:U81"/>
    <mergeCell ref="B82:U82"/>
    <mergeCell ref="B83:U83"/>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C46:H46"/>
    <mergeCell ref="I46:K46"/>
    <mergeCell ref="L46:O46"/>
    <mergeCell ref="B50:D50"/>
    <mergeCell ref="B51:D51"/>
    <mergeCell ref="B53:U53"/>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1018</v>
      </c>
      <c r="D4" s="15" t="s">
        <v>1019</v>
      </c>
      <c r="E4" s="15"/>
      <c r="F4" s="15"/>
      <c r="G4" s="15"/>
      <c r="H4" s="15"/>
      <c r="I4" s="16"/>
      <c r="J4" s="17" t="s">
        <v>6</v>
      </c>
      <c r="K4" s="18" t="s">
        <v>7</v>
      </c>
      <c r="L4" s="19" t="s">
        <v>8</v>
      </c>
      <c r="M4" s="19"/>
      <c r="N4" s="19"/>
      <c r="O4" s="19"/>
      <c r="P4" s="17" t="s">
        <v>9</v>
      </c>
      <c r="Q4" s="19" t="s">
        <v>785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1020</v>
      </c>
      <c r="D11" s="58"/>
      <c r="E11" s="58"/>
      <c r="F11" s="58"/>
      <c r="G11" s="58"/>
      <c r="H11" s="58"/>
      <c r="I11" s="58" t="s">
        <v>1297</v>
      </c>
      <c r="J11" s="58"/>
      <c r="K11" s="58"/>
      <c r="L11" s="58" t="s">
        <v>792</v>
      </c>
      <c r="M11" s="58"/>
      <c r="N11" s="58"/>
      <c r="O11" s="58"/>
      <c r="P11" s="59" t="s">
        <v>40</v>
      </c>
      <c r="Q11" s="59" t="s">
        <v>41</v>
      </c>
      <c r="R11" s="100">
        <v>52</v>
      </c>
      <c r="S11" s="100" t="s">
        <v>42</v>
      </c>
      <c r="T11" s="100" t="s">
        <v>42</v>
      </c>
      <c r="U11" s="60" t="str">
        <f>IF(ISERR(T11/S11*100),"N/A",T11/S11*100)</f>
        <v>N/A</v>
      </c>
    </row>
    <row r="12" spans="1:34" ht="75" customHeight="1" thickBot="1">
      <c r="A12" s="56"/>
      <c r="B12" s="61" t="s">
        <v>43</v>
      </c>
      <c r="C12" s="62" t="s">
        <v>43</v>
      </c>
      <c r="D12" s="62"/>
      <c r="E12" s="62"/>
      <c r="F12" s="62"/>
      <c r="G12" s="62"/>
      <c r="H12" s="62"/>
      <c r="I12" s="62" t="s">
        <v>1021</v>
      </c>
      <c r="J12" s="62"/>
      <c r="K12" s="62"/>
      <c r="L12" s="62" t="s">
        <v>1022</v>
      </c>
      <c r="M12" s="62"/>
      <c r="N12" s="62"/>
      <c r="O12" s="62"/>
      <c r="P12" s="63" t="s">
        <v>789</v>
      </c>
      <c r="Q12" s="63" t="s">
        <v>41</v>
      </c>
      <c r="R12" s="64">
        <v>0.78</v>
      </c>
      <c r="S12" s="64" t="s">
        <v>42</v>
      </c>
      <c r="T12" s="64" t="s">
        <v>42</v>
      </c>
      <c r="U12" s="65" t="str">
        <f>IF(ISERR(T12/S12*100),"N/A",T12/S12*100)</f>
        <v>N/A</v>
      </c>
    </row>
    <row r="13" spans="1:34" ht="75" customHeight="1" thickTop="1">
      <c r="A13" s="56"/>
      <c r="B13" s="57" t="s">
        <v>46</v>
      </c>
      <c r="C13" s="58" t="s">
        <v>1023</v>
      </c>
      <c r="D13" s="58"/>
      <c r="E13" s="58"/>
      <c r="F13" s="58"/>
      <c r="G13" s="58"/>
      <c r="H13" s="58"/>
      <c r="I13" s="58" t="s">
        <v>1024</v>
      </c>
      <c r="J13" s="58"/>
      <c r="K13" s="58"/>
      <c r="L13" s="58" t="s">
        <v>1025</v>
      </c>
      <c r="M13" s="58"/>
      <c r="N13" s="58"/>
      <c r="O13" s="58"/>
      <c r="P13" s="59" t="s">
        <v>40</v>
      </c>
      <c r="Q13" s="59" t="s">
        <v>41</v>
      </c>
      <c r="R13" s="59">
        <v>0</v>
      </c>
      <c r="S13" s="59" t="s">
        <v>42</v>
      </c>
      <c r="T13" s="59" t="s">
        <v>42</v>
      </c>
      <c r="U13" s="60" t="str">
        <f>IF(ISERR(T13/S13*100),"N/A",T13/S13*100)</f>
        <v>N/A</v>
      </c>
    </row>
    <row r="14" spans="1:34" ht="75" customHeight="1">
      <c r="A14" s="56"/>
      <c r="B14" s="61" t="s">
        <v>43</v>
      </c>
      <c r="C14" s="62" t="s">
        <v>43</v>
      </c>
      <c r="D14" s="62"/>
      <c r="E14" s="62"/>
      <c r="F14" s="62"/>
      <c r="G14" s="62"/>
      <c r="H14" s="62"/>
      <c r="I14" s="62" t="s">
        <v>1026</v>
      </c>
      <c r="J14" s="62"/>
      <c r="K14" s="62"/>
      <c r="L14" s="62" t="s">
        <v>1027</v>
      </c>
      <c r="M14" s="62"/>
      <c r="N14" s="62"/>
      <c r="O14" s="62"/>
      <c r="P14" s="63" t="s">
        <v>40</v>
      </c>
      <c r="Q14" s="63" t="s">
        <v>41</v>
      </c>
      <c r="R14" s="63">
        <v>0</v>
      </c>
      <c r="S14" s="63" t="s">
        <v>42</v>
      </c>
      <c r="T14" s="63" t="s">
        <v>42</v>
      </c>
      <c r="U14" s="65" t="str">
        <f>IF(ISERR((S14-T14)*100/S14+100),"N/A",(S14-T14)*100/S14+100)</f>
        <v>N/A</v>
      </c>
    </row>
    <row r="15" spans="1:34" ht="75" customHeight="1" thickBot="1">
      <c r="A15" s="56"/>
      <c r="B15" s="61" t="s">
        <v>43</v>
      </c>
      <c r="C15" s="62" t="s">
        <v>43</v>
      </c>
      <c r="D15" s="62"/>
      <c r="E15" s="62"/>
      <c r="F15" s="62"/>
      <c r="G15" s="62"/>
      <c r="H15" s="62"/>
      <c r="I15" s="62" t="s">
        <v>1028</v>
      </c>
      <c r="J15" s="62"/>
      <c r="K15" s="62"/>
      <c r="L15" s="62" t="s">
        <v>1029</v>
      </c>
      <c r="M15" s="62"/>
      <c r="N15" s="62"/>
      <c r="O15" s="62"/>
      <c r="P15" s="63" t="s">
        <v>40</v>
      </c>
      <c r="Q15" s="63" t="s">
        <v>41</v>
      </c>
      <c r="R15" s="63">
        <v>100</v>
      </c>
      <c r="S15" s="63" t="s">
        <v>42</v>
      </c>
      <c r="T15" s="63" t="s">
        <v>42</v>
      </c>
      <c r="U15" s="65" t="str">
        <f t="shared" ref="U15:U32" si="0">IF(ISERR(T15/S15*100),"N/A",T15/S15*100)</f>
        <v>N/A</v>
      </c>
    </row>
    <row r="16" spans="1:34" ht="75" customHeight="1" thickTop="1">
      <c r="A16" s="56"/>
      <c r="B16" s="57" t="s">
        <v>51</v>
      </c>
      <c r="C16" s="58" t="s">
        <v>1030</v>
      </c>
      <c r="D16" s="58"/>
      <c r="E16" s="58"/>
      <c r="F16" s="58"/>
      <c r="G16" s="58"/>
      <c r="H16" s="58"/>
      <c r="I16" s="58" t="s">
        <v>1031</v>
      </c>
      <c r="J16" s="58"/>
      <c r="K16" s="58"/>
      <c r="L16" s="58" t="s">
        <v>1032</v>
      </c>
      <c r="M16" s="58"/>
      <c r="N16" s="58"/>
      <c r="O16" s="58"/>
      <c r="P16" s="59" t="s">
        <v>789</v>
      </c>
      <c r="Q16" s="59" t="s">
        <v>93</v>
      </c>
      <c r="R16" s="100">
        <v>0.85</v>
      </c>
      <c r="S16" s="100">
        <v>0.85</v>
      </c>
      <c r="T16" s="100">
        <v>0.94</v>
      </c>
      <c r="U16" s="60">
        <f t="shared" si="0"/>
        <v>110.58823529411765</v>
      </c>
    </row>
    <row r="17" spans="1:21" ht="75" customHeight="1">
      <c r="A17" s="56"/>
      <c r="B17" s="61" t="s">
        <v>43</v>
      </c>
      <c r="C17" s="62" t="s">
        <v>1033</v>
      </c>
      <c r="D17" s="62"/>
      <c r="E17" s="62"/>
      <c r="F17" s="62"/>
      <c r="G17" s="62"/>
      <c r="H17" s="62"/>
      <c r="I17" s="62" t="s">
        <v>1034</v>
      </c>
      <c r="J17" s="62"/>
      <c r="K17" s="62"/>
      <c r="L17" s="62" t="s">
        <v>1035</v>
      </c>
      <c r="M17" s="62"/>
      <c r="N17" s="62"/>
      <c r="O17" s="62"/>
      <c r="P17" s="63" t="s">
        <v>789</v>
      </c>
      <c r="Q17" s="63" t="s">
        <v>93</v>
      </c>
      <c r="R17" s="64">
        <v>0.41</v>
      </c>
      <c r="S17" s="64">
        <v>0</v>
      </c>
      <c r="T17" s="64">
        <v>0</v>
      </c>
      <c r="U17" s="65" t="str">
        <f t="shared" si="0"/>
        <v>N/A</v>
      </c>
    </row>
    <row r="18" spans="1:21" ht="75" customHeight="1">
      <c r="A18" s="56"/>
      <c r="B18" s="61" t="s">
        <v>43</v>
      </c>
      <c r="C18" s="62" t="s">
        <v>1036</v>
      </c>
      <c r="D18" s="62"/>
      <c r="E18" s="62"/>
      <c r="F18" s="62"/>
      <c r="G18" s="62"/>
      <c r="H18" s="62"/>
      <c r="I18" s="62" t="s">
        <v>1037</v>
      </c>
      <c r="J18" s="62"/>
      <c r="K18" s="62"/>
      <c r="L18" s="62" t="s">
        <v>1038</v>
      </c>
      <c r="M18" s="62"/>
      <c r="N18" s="62"/>
      <c r="O18" s="62"/>
      <c r="P18" s="63" t="s">
        <v>789</v>
      </c>
      <c r="Q18" s="63" t="s">
        <v>93</v>
      </c>
      <c r="R18" s="64">
        <v>1</v>
      </c>
      <c r="S18" s="64">
        <v>0.73</v>
      </c>
      <c r="T18" s="64">
        <v>0.76</v>
      </c>
      <c r="U18" s="65">
        <f t="shared" si="0"/>
        <v>104.10958904109589</v>
      </c>
    </row>
    <row r="19" spans="1:21" ht="75" customHeight="1" thickBot="1">
      <c r="A19" s="56"/>
      <c r="B19" s="61" t="s">
        <v>43</v>
      </c>
      <c r="C19" s="62" t="s">
        <v>1039</v>
      </c>
      <c r="D19" s="62"/>
      <c r="E19" s="62"/>
      <c r="F19" s="62"/>
      <c r="G19" s="62"/>
      <c r="H19" s="62"/>
      <c r="I19" s="62" t="s">
        <v>1040</v>
      </c>
      <c r="J19" s="62"/>
      <c r="K19" s="62"/>
      <c r="L19" s="62" t="s">
        <v>1041</v>
      </c>
      <c r="M19" s="62"/>
      <c r="N19" s="62"/>
      <c r="O19" s="62"/>
      <c r="P19" s="63" t="s">
        <v>40</v>
      </c>
      <c r="Q19" s="63" t="s">
        <v>41</v>
      </c>
      <c r="R19" s="63">
        <v>3.17</v>
      </c>
      <c r="S19" s="63" t="s">
        <v>42</v>
      </c>
      <c r="T19" s="63" t="s">
        <v>42</v>
      </c>
      <c r="U19" s="65" t="str">
        <f t="shared" si="0"/>
        <v>N/A</v>
      </c>
    </row>
    <row r="20" spans="1:21" ht="75" customHeight="1" thickTop="1">
      <c r="A20" s="56"/>
      <c r="B20" s="57" t="s">
        <v>56</v>
      </c>
      <c r="C20" s="58" t="s">
        <v>1042</v>
      </c>
      <c r="D20" s="58"/>
      <c r="E20" s="58"/>
      <c r="F20" s="58"/>
      <c r="G20" s="58"/>
      <c r="H20" s="58"/>
      <c r="I20" s="58" t="s">
        <v>1043</v>
      </c>
      <c r="J20" s="58"/>
      <c r="K20" s="58"/>
      <c r="L20" s="58" t="s">
        <v>1044</v>
      </c>
      <c r="M20" s="58"/>
      <c r="N20" s="58"/>
      <c r="O20" s="58"/>
      <c r="P20" s="59" t="s">
        <v>40</v>
      </c>
      <c r="Q20" s="59" t="s">
        <v>60</v>
      </c>
      <c r="R20" s="59">
        <v>0</v>
      </c>
      <c r="S20" s="59">
        <v>0</v>
      </c>
      <c r="T20" s="59">
        <v>0</v>
      </c>
      <c r="U20" s="60" t="str">
        <f t="shared" si="0"/>
        <v>N/A</v>
      </c>
    </row>
    <row r="21" spans="1:21" ht="75" customHeight="1">
      <c r="A21" s="56"/>
      <c r="B21" s="61" t="s">
        <v>43</v>
      </c>
      <c r="C21" s="62" t="s">
        <v>43</v>
      </c>
      <c r="D21" s="62"/>
      <c r="E21" s="62"/>
      <c r="F21" s="62"/>
      <c r="G21" s="62"/>
      <c r="H21" s="62"/>
      <c r="I21" s="62" t="s">
        <v>1045</v>
      </c>
      <c r="J21" s="62"/>
      <c r="K21" s="62"/>
      <c r="L21" s="62" t="s">
        <v>1046</v>
      </c>
      <c r="M21" s="62"/>
      <c r="N21" s="62"/>
      <c r="O21" s="62"/>
      <c r="P21" s="63" t="s">
        <v>40</v>
      </c>
      <c r="Q21" s="63" t="s">
        <v>60</v>
      </c>
      <c r="R21" s="63">
        <v>100</v>
      </c>
      <c r="S21" s="63">
        <v>100</v>
      </c>
      <c r="T21" s="63">
        <v>88.6</v>
      </c>
      <c r="U21" s="65">
        <f t="shared" si="0"/>
        <v>88.6</v>
      </c>
    </row>
    <row r="22" spans="1:21" ht="75" customHeight="1">
      <c r="A22" s="56"/>
      <c r="B22" s="61" t="s">
        <v>43</v>
      </c>
      <c r="C22" s="62" t="s">
        <v>43</v>
      </c>
      <c r="D22" s="62"/>
      <c r="E22" s="62"/>
      <c r="F22" s="62"/>
      <c r="G22" s="62"/>
      <c r="H22" s="62"/>
      <c r="I22" s="62" t="s">
        <v>1047</v>
      </c>
      <c r="J22" s="62"/>
      <c r="K22" s="62"/>
      <c r="L22" s="62" t="s">
        <v>1048</v>
      </c>
      <c r="M22" s="62"/>
      <c r="N22" s="62"/>
      <c r="O22" s="62"/>
      <c r="P22" s="63" t="s">
        <v>40</v>
      </c>
      <c r="Q22" s="63" t="s">
        <v>60</v>
      </c>
      <c r="R22" s="63">
        <v>100</v>
      </c>
      <c r="S22" s="63">
        <v>100</v>
      </c>
      <c r="T22" s="63">
        <v>100</v>
      </c>
      <c r="U22" s="65">
        <f t="shared" si="0"/>
        <v>100</v>
      </c>
    </row>
    <row r="23" spans="1:21" ht="75" customHeight="1">
      <c r="A23" s="56"/>
      <c r="B23" s="61" t="s">
        <v>43</v>
      </c>
      <c r="C23" s="62" t="s">
        <v>43</v>
      </c>
      <c r="D23" s="62"/>
      <c r="E23" s="62"/>
      <c r="F23" s="62"/>
      <c r="G23" s="62"/>
      <c r="H23" s="62"/>
      <c r="I23" s="62" t="s">
        <v>1049</v>
      </c>
      <c r="J23" s="62"/>
      <c r="K23" s="62"/>
      <c r="L23" s="62" t="s">
        <v>1050</v>
      </c>
      <c r="M23" s="62"/>
      <c r="N23" s="62"/>
      <c r="O23" s="62"/>
      <c r="P23" s="63" t="s">
        <v>40</v>
      </c>
      <c r="Q23" s="63" t="s">
        <v>60</v>
      </c>
      <c r="R23" s="63">
        <v>100</v>
      </c>
      <c r="S23" s="63">
        <v>100</v>
      </c>
      <c r="T23" s="63">
        <v>100</v>
      </c>
      <c r="U23" s="65">
        <f t="shared" si="0"/>
        <v>100</v>
      </c>
    </row>
    <row r="24" spans="1:21" ht="75" customHeight="1">
      <c r="A24" s="56"/>
      <c r="B24" s="61" t="s">
        <v>43</v>
      </c>
      <c r="C24" s="62" t="s">
        <v>1051</v>
      </c>
      <c r="D24" s="62"/>
      <c r="E24" s="62"/>
      <c r="F24" s="62"/>
      <c r="G24" s="62"/>
      <c r="H24" s="62"/>
      <c r="I24" s="62" t="s">
        <v>1052</v>
      </c>
      <c r="J24" s="62"/>
      <c r="K24" s="62"/>
      <c r="L24" s="62" t="s">
        <v>1053</v>
      </c>
      <c r="M24" s="62"/>
      <c r="N24" s="62"/>
      <c r="O24" s="62"/>
      <c r="P24" s="63" t="s">
        <v>40</v>
      </c>
      <c r="Q24" s="63" t="s">
        <v>60</v>
      </c>
      <c r="R24" s="63">
        <v>100</v>
      </c>
      <c r="S24" s="63">
        <v>100</v>
      </c>
      <c r="T24" s="63">
        <v>98.11</v>
      </c>
      <c r="U24" s="65">
        <f t="shared" si="0"/>
        <v>98.11</v>
      </c>
    </row>
    <row r="25" spans="1:21" ht="75" customHeight="1">
      <c r="A25" s="56"/>
      <c r="B25" s="61" t="s">
        <v>43</v>
      </c>
      <c r="C25" s="62" t="s">
        <v>1054</v>
      </c>
      <c r="D25" s="62"/>
      <c r="E25" s="62"/>
      <c r="F25" s="62"/>
      <c r="G25" s="62"/>
      <c r="H25" s="62"/>
      <c r="I25" s="62" t="s">
        <v>1055</v>
      </c>
      <c r="J25" s="62"/>
      <c r="K25" s="62"/>
      <c r="L25" s="62" t="s">
        <v>1056</v>
      </c>
      <c r="M25" s="62"/>
      <c r="N25" s="62"/>
      <c r="O25" s="62"/>
      <c r="P25" s="63" t="s">
        <v>40</v>
      </c>
      <c r="Q25" s="63" t="s">
        <v>60</v>
      </c>
      <c r="R25" s="63">
        <v>0</v>
      </c>
      <c r="S25" s="63">
        <v>28.57</v>
      </c>
      <c r="T25" s="63">
        <v>0</v>
      </c>
      <c r="U25" s="65">
        <f t="shared" si="0"/>
        <v>0</v>
      </c>
    </row>
    <row r="26" spans="1:21" ht="75" customHeight="1">
      <c r="A26" s="56"/>
      <c r="B26" s="61" t="s">
        <v>43</v>
      </c>
      <c r="C26" s="62" t="s">
        <v>1057</v>
      </c>
      <c r="D26" s="62"/>
      <c r="E26" s="62"/>
      <c r="F26" s="62"/>
      <c r="G26" s="62"/>
      <c r="H26" s="62"/>
      <c r="I26" s="62" t="s">
        <v>1058</v>
      </c>
      <c r="J26" s="62"/>
      <c r="K26" s="62"/>
      <c r="L26" s="62" t="s">
        <v>1059</v>
      </c>
      <c r="M26" s="62"/>
      <c r="N26" s="62"/>
      <c r="O26" s="62"/>
      <c r="P26" s="63" t="s">
        <v>40</v>
      </c>
      <c r="Q26" s="63" t="s">
        <v>60</v>
      </c>
      <c r="R26" s="63">
        <v>0</v>
      </c>
      <c r="S26" s="63">
        <v>14.29</v>
      </c>
      <c r="T26" s="63">
        <v>0</v>
      </c>
      <c r="U26" s="65">
        <f t="shared" si="0"/>
        <v>0</v>
      </c>
    </row>
    <row r="27" spans="1:21" ht="75" customHeight="1">
      <c r="A27" s="56"/>
      <c r="B27" s="61" t="s">
        <v>43</v>
      </c>
      <c r="C27" s="62" t="s">
        <v>1060</v>
      </c>
      <c r="D27" s="62"/>
      <c r="E27" s="62"/>
      <c r="F27" s="62"/>
      <c r="G27" s="62"/>
      <c r="H27" s="62"/>
      <c r="I27" s="62" t="s">
        <v>1061</v>
      </c>
      <c r="J27" s="62"/>
      <c r="K27" s="62"/>
      <c r="L27" s="62" t="s">
        <v>1062</v>
      </c>
      <c r="M27" s="62"/>
      <c r="N27" s="62"/>
      <c r="O27" s="62"/>
      <c r="P27" s="63" t="s">
        <v>40</v>
      </c>
      <c r="Q27" s="63" t="s">
        <v>60</v>
      </c>
      <c r="R27" s="63">
        <v>81.400000000000006</v>
      </c>
      <c r="S27" s="63">
        <v>20</v>
      </c>
      <c r="T27" s="63">
        <v>18.600000000000001</v>
      </c>
      <c r="U27" s="65">
        <f t="shared" si="0"/>
        <v>93</v>
      </c>
    </row>
    <row r="28" spans="1:21" ht="75" customHeight="1">
      <c r="A28" s="56"/>
      <c r="B28" s="61" t="s">
        <v>43</v>
      </c>
      <c r="C28" s="62" t="s">
        <v>1063</v>
      </c>
      <c r="D28" s="62"/>
      <c r="E28" s="62"/>
      <c r="F28" s="62"/>
      <c r="G28" s="62"/>
      <c r="H28" s="62"/>
      <c r="I28" s="62" t="s">
        <v>1064</v>
      </c>
      <c r="J28" s="62"/>
      <c r="K28" s="62"/>
      <c r="L28" s="62" t="s">
        <v>1065</v>
      </c>
      <c r="M28" s="62"/>
      <c r="N28" s="62"/>
      <c r="O28" s="62"/>
      <c r="P28" s="63" t="s">
        <v>40</v>
      </c>
      <c r="Q28" s="63" t="s">
        <v>60</v>
      </c>
      <c r="R28" s="63">
        <v>100</v>
      </c>
      <c r="S28" s="63">
        <v>100</v>
      </c>
      <c r="T28" s="63">
        <v>98.64</v>
      </c>
      <c r="U28" s="65">
        <f t="shared" si="0"/>
        <v>98.64</v>
      </c>
    </row>
    <row r="29" spans="1:21" ht="75" customHeight="1">
      <c r="A29" s="56"/>
      <c r="B29" s="61" t="s">
        <v>43</v>
      </c>
      <c r="C29" s="62" t="s">
        <v>1066</v>
      </c>
      <c r="D29" s="62"/>
      <c r="E29" s="62"/>
      <c r="F29" s="62"/>
      <c r="G29" s="62"/>
      <c r="H29" s="62"/>
      <c r="I29" s="62" t="s">
        <v>1067</v>
      </c>
      <c r="J29" s="62"/>
      <c r="K29" s="62"/>
      <c r="L29" s="62" t="s">
        <v>1068</v>
      </c>
      <c r="M29" s="62"/>
      <c r="N29" s="62"/>
      <c r="O29" s="62"/>
      <c r="P29" s="63" t="s">
        <v>40</v>
      </c>
      <c r="Q29" s="63" t="s">
        <v>60</v>
      </c>
      <c r="R29" s="63">
        <v>100</v>
      </c>
      <c r="S29" s="63">
        <v>75</v>
      </c>
      <c r="T29" s="63">
        <v>75</v>
      </c>
      <c r="U29" s="65">
        <f t="shared" si="0"/>
        <v>100</v>
      </c>
    </row>
    <row r="30" spans="1:21" ht="75" customHeight="1">
      <c r="A30" s="56"/>
      <c r="B30" s="61" t="s">
        <v>43</v>
      </c>
      <c r="C30" s="62" t="s">
        <v>1069</v>
      </c>
      <c r="D30" s="62"/>
      <c r="E30" s="62"/>
      <c r="F30" s="62"/>
      <c r="G30" s="62"/>
      <c r="H30" s="62"/>
      <c r="I30" s="62" t="s">
        <v>1070</v>
      </c>
      <c r="J30" s="62"/>
      <c r="K30" s="62"/>
      <c r="L30" s="62" t="s">
        <v>1071</v>
      </c>
      <c r="M30" s="62"/>
      <c r="N30" s="62"/>
      <c r="O30" s="62"/>
      <c r="P30" s="63" t="s">
        <v>40</v>
      </c>
      <c r="Q30" s="63" t="s">
        <v>60</v>
      </c>
      <c r="R30" s="63">
        <v>100</v>
      </c>
      <c r="S30" s="63">
        <v>100</v>
      </c>
      <c r="T30" s="63">
        <v>100</v>
      </c>
      <c r="U30" s="65">
        <f t="shared" si="0"/>
        <v>100</v>
      </c>
    </row>
    <row r="31" spans="1:21" ht="75" customHeight="1">
      <c r="A31" s="56"/>
      <c r="B31" s="61" t="s">
        <v>43</v>
      </c>
      <c r="C31" s="62" t="s">
        <v>1072</v>
      </c>
      <c r="D31" s="62"/>
      <c r="E31" s="62"/>
      <c r="F31" s="62"/>
      <c r="G31" s="62"/>
      <c r="H31" s="62"/>
      <c r="I31" s="62" t="s">
        <v>1073</v>
      </c>
      <c r="J31" s="62"/>
      <c r="K31" s="62"/>
      <c r="L31" s="62" t="s">
        <v>1074</v>
      </c>
      <c r="M31" s="62"/>
      <c r="N31" s="62"/>
      <c r="O31" s="62"/>
      <c r="P31" s="63" t="s">
        <v>40</v>
      </c>
      <c r="Q31" s="63" t="s">
        <v>1075</v>
      </c>
      <c r="R31" s="63">
        <v>80</v>
      </c>
      <c r="S31" s="63">
        <v>90</v>
      </c>
      <c r="T31" s="63">
        <v>70.63</v>
      </c>
      <c r="U31" s="65">
        <f t="shared" si="0"/>
        <v>78.477777777777774</v>
      </c>
    </row>
    <row r="32" spans="1:21" ht="75" customHeight="1" thickBot="1">
      <c r="A32" s="56"/>
      <c r="B32" s="61" t="s">
        <v>43</v>
      </c>
      <c r="C32" s="62" t="s">
        <v>1076</v>
      </c>
      <c r="D32" s="62"/>
      <c r="E32" s="62"/>
      <c r="F32" s="62"/>
      <c r="G32" s="62"/>
      <c r="H32" s="62"/>
      <c r="I32" s="62" t="s">
        <v>1077</v>
      </c>
      <c r="J32" s="62"/>
      <c r="K32" s="62"/>
      <c r="L32" s="62" t="s">
        <v>1078</v>
      </c>
      <c r="M32" s="62"/>
      <c r="N32" s="62"/>
      <c r="O32" s="62"/>
      <c r="P32" s="63" t="s">
        <v>40</v>
      </c>
      <c r="Q32" s="63" t="s">
        <v>116</v>
      </c>
      <c r="R32" s="63">
        <v>100</v>
      </c>
      <c r="S32" s="63">
        <v>29.73</v>
      </c>
      <c r="T32" s="63">
        <v>43.24</v>
      </c>
      <c r="U32" s="65">
        <f t="shared" si="0"/>
        <v>145.44231416078034</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2084.665144</f>
        <v>2084.6651440000001</v>
      </c>
      <c r="S36" s="84">
        <f>1725.036739</f>
        <v>1725.0367389999999</v>
      </c>
      <c r="T36" s="84">
        <f>1811.38910488</f>
        <v>1811.3891048800001</v>
      </c>
      <c r="U36" s="85">
        <f>+IF(ISERR(T36/S36*100),"N/A",T36/S36*100)</f>
        <v>105.00582763994109</v>
      </c>
    </row>
    <row r="37" spans="2:22" ht="13.5" customHeight="1" thickBot="1">
      <c r="B37" s="86" t="s">
        <v>69</v>
      </c>
      <c r="C37" s="87"/>
      <c r="D37" s="87"/>
      <c r="E37" s="88"/>
      <c r="F37" s="88"/>
      <c r="G37" s="88"/>
      <c r="H37" s="89"/>
      <c r="I37" s="89"/>
      <c r="J37" s="89"/>
      <c r="K37" s="89"/>
      <c r="L37" s="89"/>
      <c r="M37" s="89"/>
      <c r="N37" s="89"/>
      <c r="O37" s="89"/>
      <c r="P37" s="90"/>
      <c r="Q37" s="90"/>
      <c r="R37" s="84">
        <f>2106.5516715</f>
        <v>2106.5516714999999</v>
      </c>
      <c r="S37" s="84">
        <f>1814.67710515</f>
        <v>1814.67710515</v>
      </c>
      <c r="T37" s="84">
        <f>1811.38910488</f>
        <v>1811.3891048800001</v>
      </c>
      <c r="U37" s="85">
        <f>+IF(ISERR(T37/S37*100),"N/A",T37/S37*100)</f>
        <v>99.818810726124852</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856</v>
      </c>
      <c r="C40" s="96"/>
      <c r="D40" s="96"/>
      <c r="E40" s="96"/>
      <c r="F40" s="96"/>
      <c r="G40" s="96"/>
      <c r="H40" s="96"/>
      <c r="I40" s="96"/>
      <c r="J40" s="96"/>
      <c r="K40" s="96"/>
      <c r="L40" s="96"/>
      <c r="M40" s="96"/>
      <c r="N40" s="96"/>
      <c r="O40" s="96"/>
      <c r="P40" s="96"/>
      <c r="Q40" s="96"/>
      <c r="R40" s="96"/>
      <c r="S40" s="96"/>
      <c r="T40" s="96"/>
      <c r="U40" s="95"/>
    </row>
    <row r="41" spans="2:22" ht="34.5" customHeight="1">
      <c r="B41" s="94" t="s">
        <v>1079</v>
      </c>
      <c r="C41" s="96"/>
      <c r="D41" s="96"/>
      <c r="E41" s="96"/>
      <c r="F41" s="96"/>
      <c r="G41" s="96"/>
      <c r="H41" s="96"/>
      <c r="I41" s="96"/>
      <c r="J41" s="96"/>
      <c r="K41" s="96"/>
      <c r="L41" s="96"/>
      <c r="M41" s="96"/>
      <c r="N41" s="96"/>
      <c r="O41" s="96"/>
      <c r="P41" s="96"/>
      <c r="Q41" s="96"/>
      <c r="R41" s="96"/>
      <c r="S41" s="96"/>
      <c r="T41" s="96"/>
      <c r="U41" s="95"/>
    </row>
    <row r="42" spans="2:22" ht="34.5" customHeight="1">
      <c r="B42" s="94" t="s">
        <v>1080</v>
      </c>
      <c r="C42" s="96"/>
      <c r="D42" s="96"/>
      <c r="E42" s="96"/>
      <c r="F42" s="96"/>
      <c r="G42" s="96"/>
      <c r="H42" s="96"/>
      <c r="I42" s="96"/>
      <c r="J42" s="96"/>
      <c r="K42" s="96"/>
      <c r="L42" s="96"/>
      <c r="M42" s="96"/>
      <c r="N42" s="96"/>
      <c r="O42" s="96"/>
      <c r="P42" s="96"/>
      <c r="Q42" s="96"/>
      <c r="R42" s="96"/>
      <c r="S42" s="96"/>
      <c r="T42" s="96"/>
      <c r="U42" s="95"/>
    </row>
    <row r="43" spans="2:22" ht="34.5" customHeight="1">
      <c r="B43" s="94" t="s">
        <v>1081</v>
      </c>
      <c r="C43" s="96"/>
      <c r="D43" s="96"/>
      <c r="E43" s="96"/>
      <c r="F43" s="96"/>
      <c r="G43" s="96"/>
      <c r="H43" s="96"/>
      <c r="I43" s="96"/>
      <c r="J43" s="96"/>
      <c r="K43" s="96"/>
      <c r="L43" s="96"/>
      <c r="M43" s="96"/>
      <c r="N43" s="96"/>
      <c r="O43" s="96"/>
      <c r="P43" s="96"/>
      <c r="Q43" s="96"/>
      <c r="R43" s="96"/>
      <c r="S43" s="96"/>
      <c r="T43" s="96"/>
      <c r="U43" s="95"/>
    </row>
    <row r="44" spans="2:22" ht="34.5" customHeight="1">
      <c r="B44" s="94" t="s">
        <v>1082</v>
      </c>
      <c r="C44" s="96"/>
      <c r="D44" s="96"/>
      <c r="E44" s="96"/>
      <c r="F44" s="96"/>
      <c r="G44" s="96"/>
      <c r="H44" s="96"/>
      <c r="I44" s="96"/>
      <c r="J44" s="96"/>
      <c r="K44" s="96"/>
      <c r="L44" s="96"/>
      <c r="M44" s="96"/>
      <c r="N44" s="96"/>
      <c r="O44" s="96"/>
      <c r="P44" s="96"/>
      <c r="Q44" s="96"/>
      <c r="R44" s="96"/>
      <c r="S44" s="96"/>
      <c r="T44" s="96"/>
      <c r="U44" s="95"/>
    </row>
    <row r="45" spans="2:22" ht="25.5" customHeight="1">
      <c r="B45" s="94" t="s">
        <v>1083</v>
      </c>
      <c r="C45" s="96"/>
      <c r="D45" s="96"/>
      <c r="E45" s="96"/>
      <c r="F45" s="96"/>
      <c r="G45" s="96"/>
      <c r="H45" s="96"/>
      <c r="I45" s="96"/>
      <c r="J45" s="96"/>
      <c r="K45" s="96"/>
      <c r="L45" s="96"/>
      <c r="M45" s="96"/>
      <c r="N45" s="96"/>
      <c r="O45" s="96"/>
      <c r="P45" s="96"/>
      <c r="Q45" s="96"/>
      <c r="R45" s="96"/>
      <c r="S45" s="96"/>
      <c r="T45" s="96"/>
      <c r="U45" s="95"/>
    </row>
    <row r="46" spans="2:22" ht="23.45" customHeight="1">
      <c r="B46" s="94" t="s">
        <v>1084</v>
      </c>
      <c r="C46" s="96"/>
      <c r="D46" s="96"/>
      <c r="E46" s="96"/>
      <c r="F46" s="96"/>
      <c r="G46" s="96"/>
      <c r="H46" s="96"/>
      <c r="I46" s="96"/>
      <c r="J46" s="96"/>
      <c r="K46" s="96"/>
      <c r="L46" s="96"/>
      <c r="M46" s="96"/>
      <c r="N46" s="96"/>
      <c r="O46" s="96"/>
      <c r="P46" s="96"/>
      <c r="Q46" s="96"/>
      <c r="R46" s="96"/>
      <c r="S46" s="96"/>
      <c r="T46" s="96"/>
      <c r="U46" s="95"/>
    </row>
    <row r="47" spans="2:22" ht="35.450000000000003" customHeight="1">
      <c r="B47" s="94" t="s">
        <v>1085</v>
      </c>
      <c r="C47" s="96"/>
      <c r="D47" s="96"/>
      <c r="E47" s="96"/>
      <c r="F47" s="96"/>
      <c r="G47" s="96"/>
      <c r="H47" s="96"/>
      <c r="I47" s="96"/>
      <c r="J47" s="96"/>
      <c r="K47" s="96"/>
      <c r="L47" s="96"/>
      <c r="M47" s="96"/>
      <c r="N47" s="96"/>
      <c r="O47" s="96"/>
      <c r="P47" s="96"/>
      <c r="Q47" s="96"/>
      <c r="R47" s="96"/>
      <c r="S47" s="96"/>
      <c r="T47" s="96"/>
      <c r="U47" s="95"/>
    </row>
    <row r="48" spans="2:22" ht="16.5" customHeight="1">
      <c r="B48" s="94" t="s">
        <v>1086</v>
      </c>
      <c r="C48" s="96"/>
      <c r="D48" s="96"/>
      <c r="E48" s="96"/>
      <c r="F48" s="96"/>
      <c r="G48" s="96"/>
      <c r="H48" s="96"/>
      <c r="I48" s="96"/>
      <c r="J48" s="96"/>
      <c r="K48" s="96"/>
      <c r="L48" s="96"/>
      <c r="M48" s="96"/>
      <c r="N48" s="96"/>
      <c r="O48" s="96"/>
      <c r="P48" s="96"/>
      <c r="Q48" s="96"/>
      <c r="R48" s="96"/>
      <c r="S48" s="96"/>
      <c r="T48" s="96"/>
      <c r="U48" s="95"/>
    </row>
    <row r="49" spans="2:21" ht="20.25" customHeight="1">
      <c r="B49" s="94" t="s">
        <v>1087</v>
      </c>
      <c r="C49" s="96"/>
      <c r="D49" s="96"/>
      <c r="E49" s="96"/>
      <c r="F49" s="96"/>
      <c r="G49" s="96"/>
      <c r="H49" s="96"/>
      <c r="I49" s="96"/>
      <c r="J49" s="96"/>
      <c r="K49" s="96"/>
      <c r="L49" s="96"/>
      <c r="M49" s="96"/>
      <c r="N49" s="96"/>
      <c r="O49" s="96"/>
      <c r="P49" s="96"/>
      <c r="Q49" s="96"/>
      <c r="R49" s="96"/>
      <c r="S49" s="96"/>
      <c r="T49" s="96"/>
      <c r="U49" s="95"/>
    </row>
    <row r="50" spans="2:21" ht="28.35" customHeight="1">
      <c r="B50" s="94" t="s">
        <v>1088</v>
      </c>
      <c r="C50" s="96"/>
      <c r="D50" s="96"/>
      <c r="E50" s="96"/>
      <c r="F50" s="96"/>
      <c r="G50" s="96"/>
      <c r="H50" s="96"/>
      <c r="I50" s="96"/>
      <c r="J50" s="96"/>
      <c r="K50" s="96"/>
      <c r="L50" s="96"/>
      <c r="M50" s="96"/>
      <c r="N50" s="96"/>
      <c r="O50" s="96"/>
      <c r="P50" s="96"/>
      <c r="Q50" s="96"/>
      <c r="R50" s="96"/>
      <c r="S50" s="96"/>
      <c r="T50" s="96"/>
      <c r="U50" s="95"/>
    </row>
    <row r="51" spans="2:21" ht="49.5" customHeight="1">
      <c r="B51" s="94" t="s">
        <v>1089</v>
      </c>
      <c r="C51" s="96"/>
      <c r="D51" s="96"/>
      <c r="E51" s="96"/>
      <c r="F51" s="96"/>
      <c r="G51" s="96"/>
      <c r="H51" s="96"/>
      <c r="I51" s="96"/>
      <c r="J51" s="96"/>
      <c r="K51" s="96"/>
      <c r="L51" s="96"/>
      <c r="M51" s="96"/>
      <c r="N51" s="96"/>
      <c r="O51" s="96"/>
      <c r="P51" s="96"/>
      <c r="Q51" s="96"/>
      <c r="R51" s="96"/>
      <c r="S51" s="96"/>
      <c r="T51" s="96"/>
      <c r="U51" s="95"/>
    </row>
    <row r="52" spans="2:21" ht="45.2" customHeight="1">
      <c r="B52" s="94" t="s">
        <v>1090</v>
      </c>
      <c r="C52" s="96"/>
      <c r="D52" s="96"/>
      <c r="E52" s="96"/>
      <c r="F52" s="96"/>
      <c r="G52" s="96"/>
      <c r="H52" s="96"/>
      <c r="I52" s="96"/>
      <c r="J52" s="96"/>
      <c r="K52" s="96"/>
      <c r="L52" s="96"/>
      <c r="M52" s="96"/>
      <c r="N52" s="96"/>
      <c r="O52" s="96"/>
      <c r="P52" s="96"/>
      <c r="Q52" s="96"/>
      <c r="R52" s="96"/>
      <c r="S52" s="96"/>
      <c r="T52" s="96"/>
      <c r="U52" s="95"/>
    </row>
    <row r="53" spans="2:21" ht="83.25" customHeight="1">
      <c r="B53" s="94" t="s">
        <v>1091</v>
      </c>
      <c r="C53" s="96"/>
      <c r="D53" s="96"/>
      <c r="E53" s="96"/>
      <c r="F53" s="96"/>
      <c r="G53" s="96"/>
      <c r="H53" s="96"/>
      <c r="I53" s="96"/>
      <c r="J53" s="96"/>
      <c r="K53" s="96"/>
      <c r="L53" s="96"/>
      <c r="M53" s="96"/>
      <c r="N53" s="96"/>
      <c r="O53" s="96"/>
      <c r="P53" s="96"/>
      <c r="Q53" s="96"/>
      <c r="R53" s="96"/>
      <c r="S53" s="96"/>
      <c r="T53" s="96"/>
      <c r="U53" s="95"/>
    </row>
    <row r="54" spans="2:21" ht="32.25" customHeight="1">
      <c r="B54" s="94" t="s">
        <v>1092</v>
      </c>
      <c r="C54" s="96"/>
      <c r="D54" s="96"/>
      <c r="E54" s="96"/>
      <c r="F54" s="96"/>
      <c r="G54" s="96"/>
      <c r="H54" s="96"/>
      <c r="I54" s="96"/>
      <c r="J54" s="96"/>
      <c r="K54" s="96"/>
      <c r="L54" s="96"/>
      <c r="M54" s="96"/>
      <c r="N54" s="96"/>
      <c r="O54" s="96"/>
      <c r="P54" s="96"/>
      <c r="Q54" s="96"/>
      <c r="R54" s="96"/>
      <c r="S54" s="96"/>
      <c r="T54" s="96"/>
      <c r="U54" s="95"/>
    </row>
    <row r="55" spans="2:21" ht="33.75" customHeight="1">
      <c r="B55" s="94" t="s">
        <v>1093</v>
      </c>
      <c r="C55" s="96"/>
      <c r="D55" s="96"/>
      <c r="E55" s="96"/>
      <c r="F55" s="96"/>
      <c r="G55" s="96"/>
      <c r="H55" s="96"/>
      <c r="I55" s="96"/>
      <c r="J55" s="96"/>
      <c r="K55" s="96"/>
      <c r="L55" s="96"/>
      <c r="M55" s="96"/>
      <c r="N55" s="96"/>
      <c r="O55" s="96"/>
      <c r="P55" s="96"/>
      <c r="Q55" s="96"/>
      <c r="R55" s="96"/>
      <c r="S55" s="96"/>
      <c r="T55" s="96"/>
      <c r="U55" s="95"/>
    </row>
    <row r="56" spans="2:21" ht="66.75" customHeight="1">
      <c r="B56" s="94" t="s">
        <v>1094</v>
      </c>
      <c r="C56" s="96"/>
      <c r="D56" s="96"/>
      <c r="E56" s="96"/>
      <c r="F56" s="96"/>
      <c r="G56" s="96"/>
      <c r="H56" s="96"/>
      <c r="I56" s="96"/>
      <c r="J56" s="96"/>
      <c r="K56" s="96"/>
      <c r="L56" s="96"/>
      <c r="M56" s="96"/>
      <c r="N56" s="96"/>
      <c r="O56" s="96"/>
      <c r="P56" s="96"/>
      <c r="Q56" s="96"/>
      <c r="R56" s="96"/>
      <c r="S56" s="96"/>
      <c r="T56" s="96"/>
      <c r="U56" s="95"/>
    </row>
    <row r="57" spans="2:21" ht="83.45" customHeight="1">
      <c r="B57" s="94" t="s">
        <v>1095</v>
      </c>
      <c r="C57" s="96"/>
      <c r="D57" s="96"/>
      <c r="E57" s="96"/>
      <c r="F57" s="96"/>
      <c r="G57" s="96"/>
      <c r="H57" s="96"/>
      <c r="I57" s="96"/>
      <c r="J57" s="96"/>
      <c r="K57" s="96"/>
      <c r="L57" s="96"/>
      <c r="M57" s="96"/>
      <c r="N57" s="96"/>
      <c r="O57" s="96"/>
      <c r="P57" s="96"/>
      <c r="Q57" s="96"/>
      <c r="R57" s="96"/>
      <c r="S57" s="96"/>
      <c r="T57" s="96"/>
      <c r="U57" s="95"/>
    </row>
    <row r="58" spans="2:21" ht="19.5" customHeight="1">
      <c r="B58" s="94" t="s">
        <v>1096</v>
      </c>
      <c r="C58" s="96"/>
      <c r="D58" s="96"/>
      <c r="E58" s="96"/>
      <c r="F58" s="96"/>
      <c r="G58" s="96"/>
      <c r="H58" s="96"/>
      <c r="I58" s="96"/>
      <c r="J58" s="96"/>
      <c r="K58" s="96"/>
      <c r="L58" s="96"/>
      <c r="M58" s="96"/>
      <c r="N58" s="96"/>
      <c r="O58" s="96"/>
      <c r="P58" s="96"/>
      <c r="Q58" s="96"/>
      <c r="R58" s="96"/>
      <c r="S58" s="96"/>
      <c r="T58" s="96"/>
      <c r="U58" s="95"/>
    </row>
    <row r="59" spans="2:21" ht="20.25" customHeight="1">
      <c r="B59" s="94" t="s">
        <v>1097</v>
      </c>
      <c r="C59" s="96"/>
      <c r="D59" s="96"/>
      <c r="E59" s="96"/>
      <c r="F59" s="96"/>
      <c r="G59" s="96"/>
      <c r="H59" s="96"/>
      <c r="I59" s="96"/>
      <c r="J59" s="96"/>
      <c r="K59" s="96"/>
      <c r="L59" s="96"/>
      <c r="M59" s="96"/>
      <c r="N59" s="96"/>
      <c r="O59" s="96"/>
      <c r="P59" s="96"/>
      <c r="Q59" s="96"/>
      <c r="R59" s="96"/>
      <c r="S59" s="96"/>
      <c r="T59" s="96"/>
      <c r="U59" s="95"/>
    </row>
    <row r="60" spans="2:21" ht="78.2" customHeight="1">
      <c r="B60" s="94" t="s">
        <v>1098</v>
      </c>
      <c r="C60" s="96"/>
      <c r="D60" s="96"/>
      <c r="E60" s="96"/>
      <c r="F60" s="96"/>
      <c r="G60" s="96"/>
      <c r="H60" s="96"/>
      <c r="I60" s="96"/>
      <c r="J60" s="96"/>
      <c r="K60" s="96"/>
      <c r="L60" s="96"/>
      <c r="M60" s="96"/>
      <c r="N60" s="96"/>
      <c r="O60" s="96"/>
      <c r="P60" s="96"/>
      <c r="Q60" s="96"/>
      <c r="R60" s="96"/>
      <c r="S60" s="96"/>
      <c r="T60" s="96"/>
      <c r="U60" s="95"/>
    </row>
    <row r="61" spans="2:21" ht="48.95" customHeight="1" thickBot="1">
      <c r="B61" s="97" t="s">
        <v>1099</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1100</v>
      </c>
      <c r="D4" s="15" t="s">
        <v>1101</v>
      </c>
      <c r="E4" s="15"/>
      <c r="F4" s="15"/>
      <c r="G4" s="15"/>
      <c r="H4" s="15"/>
      <c r="I4" s="16"/>
      <c r="J4" s="17" t="s">
        <v>6</v>
      </c>
      <c r="K4" s="18" t="s">
        <v>7</v>
      </c>
      <c r="L4" s="19" t="s">
        <v>8</v>
      </c>
      <c r="M4" s="19"/>
      <c r="N4" s="19"/>
      <c r="O4" s="19"/>
      <c r="P4" s="17" t="s">
        <v>9</v>
      </c>
      <c r="Q4" s="19" t="s">
        <v>1102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1103</v>
      </c>
      <c r="D11" s="58"/>
      <c r="E11" s="58"/>
      <c r="F11" s="58"/>
      <c r="G11" s="58"/>
      <c r="H11" s="58"/>
      <c r="I11" s="58" t="s">
        <v>1104</v>
      </c>
      <c r="J11" s="58"/>
      <c r="K11" s="58"/>
      <c r="L11" s="58" t="s">
        <v>1105</v>
      </c>
      <c r="M11" s="58"/>
      <c r="N11" s="58"/>
      <c r="O11" s="58"/>
      <c r="P11" s="59" t="s">
        <v>40</v>
      </c>
      <c r="Q11" s="59" t="s">
        <v>41</v>
      </c>
      <c r="R11" s="59">
        <v>98.34</v>
      </c>
      <c r="S11" s="59" t="s">
        <v>42</v>
      </c>
      <c r="T11" s="59" t="s">
        <v>42</v>
      </c>
      <c r="U11" s="60" t="str">
        <f t="shared" ref="U11:U18" si="0">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 t="shared" si="0"/>
        <v>N/A</v>
      </c>
    </row>
    <row r="13" spans="1:34" ht="75" customHeight="1" thickTop="1" thickBot="1">
      <c r="A13" s="56"/>
      <c r="B13" s="57" t="s">
        <v>46</v>
      </c>
      <c r="C13" s="58" t="s">
        <v>1106</v>
      </c>
      <c r="D13" s="58"/>
      <c r="E13" s="58"/>
      <c r="F13" s="58"/>
      <c r="G13" s="58"/>
      <c r="H13" s="58"/>
      <c r="I13" s="58" t="s">
        <v>1107</v>
      </c>
      <c r="J13" s="58"/>
      <c r="K13" s="58"/>
      <c r="L13" s="58" t="s">
        <v>1108</v>
      </c>
      <c r="M13" s="58"/>
      <c r="N13" s="58"/>
      <c r="O13" s="58"/>
      <c r="P13" s="59" t="s">
        <v>40</v>
      </c>
      <c r="Q13" s="59" t="s">
        <v>41</v>
      </c>
      <c r="R13" s="59">
        <v>86.49</v>
      </c>
      <c r="S13" s="59" t="s">
        <v>42</v>
      </c>
      <c r="T13" s="59" t="s">
        <v>42</v>
      </c>
      <c r="U13" s="60" t="str">
        <f t="shared" si="0"/>
        <v>N/A</v>
      </c>
    </row>
    <row r="14" spans="1:34" ht="75" customHeight="1" thickTop="1">
      <c r="A14" s="56"/>
      <c r="B14" s="57" t="s">
        <v>51</v>
      </c>
      <c r="C14" s="58" t="s">
        <v>1109</v>
      </c>
      <c r="D14" s="58"/>
      <c r="E14" s="58"/>
      <c r="F14" s="58"/>
      <c r="G14" s="58"/>
      <c r="H14" s="58"/>
      <c r="I14" s="58" t="s">
        <v>1110</v>
      </c>
      <c r="J14" s="58"/>
      <c r="K14" s="58"/>
      <c r="L14" s="58" t="s">
        <v>1111</v>
      </c>
      <c r="M14" s="58"/>
      <c r="N14" s="58"/>
      <c r="O14" s="58"/>
      <c r="P14" s="59" t="s">
        <v>40</v>
      </c>
      <c r="Q14" s="59" t="s">
        <v>41</v>
      </c>
      <c r="R14" s="59">
        <v>100</v>
      </c>
      <c r="S14" s="59" t="s">
        <v>42</v>
      </c>
      <c r="T14" s="59" t="s">
        <v>42</v>
      </c>
      <c r="U14" s="60" t="str">
        <f t="shared" si="0"/>
        <v>N/A</v>
      </c>
    </row>
    <row r="15" spans="1:34" ht="75" customHeight="1" thickBot="1">
      <c r="A15" s="56"/>
      <c r="B15" s="61" t="s">
        <v>43</v>
      </c>
      <c r="C15" s="62" t="s">
        <v>1112</v>
      </c>
      <c r="D15" s="62"/>
      <c r="E15" s="62"/>
      <c r="F15" s="62"/>
      <c r="G15" s="62"/>
      <c r="H15" s="62"/>
      <c r="I15" s="62" t="s">
        <v>1113</v>
      </c>
      <c r="J15" s="62"/>
      <c r="K15" s="62"/>
      <c r="L15" s="62" t="s">
        <v>1114</v>
      </c>
      <c r="M15" s="62"/>
      <c r="N15" s="62"/>
      <c r="O15" s="62"/>
      <c r="P15" s="63" t="s">
        <v>40</v>
      </c>
      <c r="Q15" s="63" t="s">
        <v>41</v>
      </c>
      <c r="R15" s="63">
        <v>100</v>
      </c>
      <c r="S15" s="63" t="s">
        <v>42</v>
      </c>
      <c r="T15" s="63" t="s">
        <v>42</v>
      </c>
      <c r="U15" s="65" t="str">
        <f t="shared" si="0"/>
        <v>N/A</v>
      </c>
    </row>
    <row r="16" spans="1:34" ht="75" customHeight="1" thickTop="1">
      <c r="A16" s="56"/>
      <c r="B16" s="57" t="s">
        <v>56</v>
      </c>
      <c r="C16" s="58" t="s">
        <v>1115</v>
      </c>
      <c r="D16" s="58"/>
      <c r="E16" s="58"/>
      <c r="F16" s="58"/>
      <c r="G16" s="58"/>
      <c r="H16" s="58"/>
      <c r="I16" s="58" t="s">
        <v>1116</v>
      </c>
      <c r="J16" s="58"/>
      <c r="K16" s="58"/>
      <c r="L16" s="58" t="s">
        <v>1117</v>
      </c>
      <c r="M16" s="58"/>
      <c r="N16" s="58"/>
      <c r="O16" s="58"/>
      <c r="P16" s="59" t="s">
        <v>40</v>
      </c>
      <c r="Q16" s="59" t="s">
        <v>60</v>
      </c>
      <c r="R16" s="59">
        <v>100</v>
      </c>
      <c r="S16" s="59">
        <v>73.33</v>
      </c>
      <c r="T16" s="59">
        <v>66.67</v>
      </c>
      <c r="U16" s="60">
        <f t="shared" si="0"/>
        <v>90.917768989499521</v>
      </c>
    </row>
    <row r="17" spans="1:22" ht="75" customHeight="1">
      <c r="A17" s="56"/>
      <c r="B17" s="61" t="s">
        <v>43</v>
      </c>
      <c r="C17" s="62" t="s">
        <v>1118</v>
      </c>
      <c r="D17" s="62"/>
      <c r="E17" s="62"/>
      <c r="F17" s="62"/>
      <c r="G17" s="62"/>
      <c r="H17" s="62"/>
      <c r="I17" s="62" t="s">
        <v>1119</v>
      </c>
      <c r="J17" s="62"/>
      <c r="K17" s="62"/>
      <c r="L17" s="62" t="s">
        <v>1120</v>
      </c>
      <c r="M17" s="62"/>
      <c r="N17" s="62"/>
      <c r="O17" s="62"/>
      <c r="P17" s="63" t="s">
        <v>40</v>
      </c>
      <c r="Q17" s="63" t="s">
        <v>116</v>
      </c>
      <c r="R17" s="63">
        <v>100</v>
      </c>
      <c r="S17" s="63">
        <v>50</v>
      </c>
      <c r="T17" s="63">
        <v>87.5</v>
      </c>
      <c r="U17" s="65">
        <f t="shared" si="0"/>
        <v>175</v>
      </c>
    </row>
    <row r="18" spans="1:22" ht="75" customHeight="1" thickBot="1">
      <c r="A18" s="56"/>
      <c r="B18" s="61" t="s">
        <v>43</v>
      </c>
      <c r="C18" s="62" t="s">
        <v>1121</v>
      </c>
      <c r="D18" s="62"/>
      <c r="E18" s="62"/>
      <c r="F18" s="62"/>
      <c r="G18" s="62"/>
      <c r="H18" s="62"/>
      <c r="I18" s="62" t="s">
        <v>1122</v>
      </c>
      <c r="J18" s="62"/>
      <c r="K18" s="62"/>
      <c r="L18" s="62" t="s">
        <v>1123</v>
      </c>
      <c r="M18" s="62"/>
      <c r="N18" s="62"/>
      <c r="O18" s="62"/>
      <c r="P18" s="63" t="s">
        <v>40</v>
      </c>
      <c r="Q18" s="63" t="s">
        <v>116</v>
      </c>
      <c r="R18" s="63">
        <v>100</v>
      </c>
      <c r="S18" s="63">
        <v>50</v>
      </c>
      <c r="T18" s="63">
        <v>0</v>
      </c>
      <c r="U18" s="65">
        <f t="shared" si="0"/>
        <v>0</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f>50.170217</f>
        <v>50.170217000000001</v>
      </c>
      <c r="S22" s="84">
        <f>50.170217</f>
        <v>50.170217000000001</v>
      </c>
      <c r="T22" s="84">
        <f>407.388253</f>
        <v>407.38825300000002</v>
      </c>
      <c r="U22" s="85">
        <f>+IF(ISERR(T22/S22*100),"N/A",T22/S22*100)</f>
        <v>812.01214058930623</v>
      </c>
    </row>
    <row r="23" spans="1:22" ht="13.5" customHeight="1" thickBot="1">
      <c r="B23" s="86" t="s">
        <v>69</v>
      </c>
      <c r="C23" s="87"/>
      <c r="D23" s="87"/>
      <c r="E23" s="88"/>
      <c r="F23" s="88"/>
      <c r="G23" s="88"/>
      <c r="H23" s="89"/>
      <c r="I23" s="89"/>
      <c r="J23" s="89"/>
      <c r="K23" s="89"/>
      <c r="L23" s="89"/>
      <c r="M23" s="89"/>
      <c r="N23" s="89"/>
      <c r="O23" s="89"/>
      <c r="P23" s="90"/>
      <c r="Q23" s="90"/>
      <c r="R23" s="84">
        <f>445.670217</f>
        <v>445.67021699999998</v>
      </c>
      <c r="S23" s="84">
        <f>445.670217</f>
        <v>445.67021699999998</v>
      </c>
      <c r="T23" s="84">
        <f>407.388253</f>
        <v>407.38825300000002</v>
      </c>
      <c r="U23" s="85">
        <f>+IF(ISERR(T23/S23*100),"N/A",T23/S23*100)</f>
        <v>91.41024853361472</v>
      </c>
    </row>
    <row r="24" spans="1:22" ht="14.85"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23.1" customHeight="1">
      <c r="B26" s="94" t="s">
        <v>1124</v>
      </c>
      <c r="C26" s="96"/>
      <c r="D26" s="96"/>
      <c r="E26" s="96"/>
      <c r="F26" s="96"/>
      <c r="G26" s="96"/>
      <c r="H26" s="96"/>
      <c r="I26" s="96"/>
      <c r="J26" s="96"/>
      <c r="K26" s="96"/>
      <c r="L26" s="96"/>
      <c r="M26" s="96"/>
      <c r="N26" s="96"/>
      <c r="O26" s="96"/>
      <c r="P26" s="96"/>
      <c r="Q26" s="96"/>
      <c r="R26" s="96"/>
      <c r="S26" s="96"/>
      <c r="T26" s="96"/>
      <c r="U26" s="95"/>
    </row>
    <row r="27" spans="1:22" ht="34.5" customHeight="1">
      <c r="B27" s="94" t="s">
        <v>73</v>
      </c>
      <c r="C27" s="96"/>
      <c r="D27" s="96"/>
      <c r="E27" s="96"/>
      <c r="F27" s="96"/>
      <c r="G27" s="96"/>
      <c r="H27" s="96"/>
      <c r="I27" s="96"/>
      <c r="J27" s="96"/>
      <c r="K27" s="96"/>
      <c r="L27" s="96"/>
      <c r="M27" s="96"/>
      <c r="N27" s="96"/>
      <c r="O27" s="96"/>
      <c r="P27" s="96"/>
      <c r="Q27" s="96"/>
      <c r="R27" s="96"/>
      <c r="S27" s="96"/>
      <c r="T27" s="96"/>
      <c r="U27" s="95"/>
    </row>
    <row r="28" spans="1:22" ht="34.5" customHeight="1">
      <c r="B28" s="94" t="s">
        <v>1125</v>
      </c>
      <c r="C28" s="96"/>
      <c r="D28" s="96"/>
      <c r="E28" s="96"/>
      <c r="F28" s="96"/>
      <c r="G28" s="96"/>
      <c r="H28" s="96"/>
      <c r="I28" s="96"/>
      <c r="J28" s="96"/>
      <c r="K28" s="96"/>
      <c r="L28" s="96"/>
      <c r="M28" s="96"/>
      <c r="N28" s="96"/>
      <c r="O28" s="96"/>
      <c r="P28" s="96"/>
      <c r="Q28" s="96"/>
      <c r="R28" s="96"/>
      <c r="S28" s="96"/>
      <c r="T28" s="96"/>
      <c r="U28" s="95"/>
    </row>
    <row r="29" spans="1:22" ht="34.5" customHeight="1">
      <c r="B29" s="94" t="s">
        <v>1126</v>
      </c>
      <c r="C29" s="96"/>
      <c r="D29" s="96"/>
      <c r="E29" s="96"/>
      <c r="F29" s="96"/>
      <c r="G29" s="96"/>
      <c r="H29" s="96"/>
      <c r="I29" s="96"/>
      <c r="J29" s="96"/>
      <c r="K29" s="96"/>
      <c r="L29" s="96"/>
      <c r="M29" s="96"/>
      <c r="N29" s="96"/>
      <c r="O29" s="96"/>
      <c r="P29" s="96"/>
      <c r="Q29" s="96"/>
      <c r="R29" s="96"/>
      <c r="S29" s="96"/>
      <c r="T29" s="96"/>
      <c r="U29" s="95"/>
    </row>
    <row r="30" spans="1:22" ht="34.5" customHeight="1">
      <c r="B30" s="94" t="s">
        <v>1127</v>
      </c>
      <c r="C30" s="96"/>
      <c r="D30" s="96"/>
      <c r="E30" s="96"/>
      <c r="F30" s="96"/>
      <c r="G30" s="96"/>
      <c r="H30" s="96"/>
      <c r="I30" s="96"/>
      <c r="J30" s="96"/>
      <c r="K30" s="96"/>
      <c r="L30" s="96"/>
      <c r="M30" s="96"/>
      <c r="N30" s="96"/>
      <c r="O30" s="96"/>
      <c r="P30" s="96"/>
      <c r="Q30" s="96"/>
      <c r="R30" s="96"/>
      <c r="S30" s="96"/>
      <c r="T30" s="96"/>
      <c r="U30" s="95"/>
    </row>
    <row r="31" spans="1:22" ht="41.85" customHeight="1">
      <c r="B31" s="94" t="s">
        <v>1128</v>
      </c>
      <c r="C31" s="96"/>
      <c r="D31" s="96"/>
      <c r="E31" s="96"/>
      <c r="F31" s="96"/>
      <c r="G31" s="96"/>
      <c r="H31" s="96"/>
      <c r="I31" s="96"/>
      <c r="J31" s="96"/>
      <c r="K31" s="96"/>
      <c r="L31" s="96"/>
      <c r="M31" s="96"/>
      <c r="N31" s="96"/>
      <c r="O31" s="96"/>
      <c r="P31" s="96"/>
      <c r="Q31" s="96"/>
      <c r="R31" s="96"/>
      <c r="S31" s="96"/>
      <c r="T31" s="96"/>
      <c r="U31" s="95"/>
    </row>
    <row r="32" spans="1:22" ht="49.7" customHeight="1">
      <c r="B32" s="94" t="s">
        <v>1129</v>
      </c>
      <c r="C32" s="96"/>
      <c r="D32" s="96"/>
      <c r="E32" s="96"/>
      <c r="F32" s="96"/>
      <c r="G32" s="96"/>
      <c r="H32" s="96"/>
      <c r="I32" s="96"/>
      <c r="J32" s="96"/>
      <c r="K32" s="96"/>
      <c r="L32" s="96"/>
      <c r="M32" s="96"/>
      <c r="N32" s="96"/>
      <c r="O32" s="96"/>
      <c r="P32" s="96"/>
      <c r="Q32" s="96"/>
      <c r="R32" s="96"/>
      <c r="S32" s="96"/>
      <c r="T32" s="96"/>
      <c r="U32" s="95"/>
    </row>
    <row r="33" spans="2:21" ht="45.2" customHeight="1" thickBot="1">
      <c r="B33" s="97" t="s">
        <v>1130</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S14" sqref="S1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1131</v>
      </c>
      <c r="D4" s="15" t="s">
        <v>1132</v>
      </c>
      <c r="E4" s="15"/>
      <c r="F4" s="15"/>
      <c r="G4" s="15"/>
      <c r="H4" s="15"/>
      <c r="I4" s="16"/>
      <c r="J4" s="17" t="s">
        <v>6</v>
      </c>
      <c r="K4" s="18" t="s">
        <v>7</v>
      </c>
      <c r="L4" s="19" t="s">
        <v>8</v>
      </c>
      <c r="M4" s="19"/>
      <c r="N4" s="19"/>
      <c r="O4" s="19"/>
      <c r="P4" s="17" t="s">
        <v>9</v>
      </c>
      <c r="Q4" s="19" t="s">
        <v>541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1133</v>
      </c>
      <c r="D11" s="58"/>
      <c r="E11" s="58"/>
      <c r="F11" s="58"/>
      <c r="G11" s="58"/>
      <c r="H11" s="58"/>
      <c r="I11" s="58" t="s">
        <v>1134</v>
      </c>
      <c r="J11" s="58"/>
      <c r="K11" s="58"/>
      <c r="L11" s="58" t="s">
        <v>1135</v>
      </c>
      <c r="M11" s="58"/>
      <c r="N11" s="58"/>
      <c r="O11" s="58"/>
      <c r="P11" s="59" t="s">
        <v>40</v>
      </c>
      <c r="Q11" s="59" t="s">
        <v>41</v>
      </c>
      <c r="R11" s="59">
        <v>91.62</v>
      </c>
      <c r="S11" s="59" t="s">
        <v>42</v>
      </c>
      <c r="T11" s="59" t="s">
        <v>42</v>
      </c>
      <c r="U11" s="60" t="str">
        <f>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IF(ISERR(T12/S12*100),"N/A",T12/S12*100)</f>
        <v>N/A</v>
      </c>
    </row>
    <row r="13" spans="1:34" ht="75" customHeight="1" thickTop="1" thickBot="1">
      <c r="A13" s="56"/>
      <c r="B13" s="57" t="s">
        <v>46</v>
      </c>
      <c r="C13" s="58" t="s">
        <v>1136</v>
      </c>
      <c r="D13" s="58"/>
      <c r="E13" s="58"/>
      <c r="F13" s="58"/>
      <c r="G13" s="58"/>
      <c r="H13" s="58"/>
      <c r="I13" s="58" t="s">
        <v>1137</v>
      </c>
      <c r="J13" s="58"/>
      <c r="K13" s="58"/>
      <c r="L13" s="58" t="s">
        <v>1138</v>
      </c>
      <c r="M13" s="58"/>
      <c r="N13" s="58"/>
      <c r="O13" s="58"/>
      <c r="P13" s="59" t="s">
        <v>40</v>
      </c>
      <c r="Q13" s="59" t="s">
        <v>41</v>
      </c>
      <c r="R13" s="59">
        <v>-2.3199999999999998</v>
      </c>
      <c r="S13" s="59" t="s">
        <v>42</v>
      </c>
      <c r="T13" s="59" t="s">
        <v>42</v>
      </c>
      <c r="U13" s="60" t="str">
        <f>IF(ISERR(T13/S13*100),"N/A",T13/S13*100)</f>
        <v>N/A</v>
      </c>
    </row>
    <row r="14" spans="1:34" ht="75" customHeight="1" thickTop="1" thickBot="1">
      <c r="A14" s="56"/>
      <c r="B14" s="57" t="s">
        <v>51</v>
      </c>
      <c r="C14" s="58" t="s">
        <v>1139</v>
      </c>
      <c r="D14" s="58"/>
      <c r="E14" s="58"/>
      <c r="F14" s="58"/>
      <c r="G14" s="58"/>
      <c r="H14" s="58"/>
      <c r="I14" s="58" t="s">
        <v>1140</v>
      </c>
      <c r="J14" s="58"/>
      <c r="K14" s="58"/>
      <c r="L14" s="58" t="s">
        <v>1141</v>
      </c>
      <c r="M14" s="58"/>
      <c r="N14" s="58"/>
      <c r="O14" s="58"/>
      <c r="P14" s="59" t="s">
        <v>40</v>
      </c>
      <c r="Q14" s="59" t="s">
        <v>50</v>
      </c>
      <c r="R14" s="59">
        <v>40.909999999999997</v>
      </c>
      <c r="S14" s="59" t="s">
        <v>42</v>
      </c>
      <c r="T14" s="59" t="s">
        <v>42</v>
      </c>
      <c r="U14" s="60" t="str">
        <f>IF(ISERR(T14/S14*100),"N/A",T14/S14*100)</f>
        <v>N/A</v>
      </c>
    </row>
    <row r="15" spans="1:34" ht="75" customHeight="1" thickTop="1" thickBot="1">
      <c r="A15" s="56"/>
      <c r="B15" s="57" t="s">
        <v>56</v>
      </c>
      <c r="C15" s="58" t="s">
        <v>1142</v>
      </c>
      <c r="D15" s="58"/>
      <c r="E15" s="58"/>
      <c r="F15" s="58"/>
      <c r="G15" s="58"/>
      <c r="H15" s="58"/>
      <c r="I15" s="58" t="s">
        <v>1143</v>
      </c>
      <c r="J15" s="58"/>
      <c r="K15" s="58"/>
      <c r="L15" s="58" t="s">
        <v>1144</v>
      </c>
      <c r="M15" s="58"/>
      <c r="N15" s="58"/>
      <c r="O15" s="58"/>
      <c r="P15" s="59" t="s">
        <v>40</v>
      </c>
      <c r="Q15" s="59" t="s">
        <v>106</v>
      </c>
      <c r="R15" s="59">
        <v>71.97</v>
      </c>
      <c r="S15" s="59" t="s">
        <v>42</v>
      </c>
      <c r="T15" s="59" t="s">
        <v>42</v>
      </c>
      <c r="U15" s="60" t="str">
        <f>IF(ISERR(T15/S15*100),"N/A",T15/S15*100)</f>
        <v>N/A</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f>7.204428</f>
        <v>7.2044280000000001</v>
      </c>
      <c r="S19" s="84">
        <f>7.204428</f>
        <v>7.2044280000000001</v>
      </c>
      <c r="T19" s="84">
        <f>70.85</f>
        <v>70.849999999999994</v>
      </c>
      <c r="U19" s="85">
        <f>+IF(ISERR(T19/S19*100),"N/A",T19/S19*100)</f>
        <v>983.42297264959825</v>
      </c>
    </row>
    <row r="20" spans="2:21" ht="13.5" customHeight="1" thickBot="1">
      <c r="B20" s="86" t="s">
        <v>69</v>
      </c>
      <c r="C20" s="87"/>
      <c r="D20" s="87"/>
      <c r="E20" s="88"/>
      <c r="F20" s="88"/>
      <c r="G20" s="88"/>
      <c r="H20" s="89"/>
      <c r="I20" s="89"/>
      <c r="J20" s="89"/>
      <c r="K20" s="89"/>
      <c r="L20" s="89"/>
      <c r="M20" s="89"/>
      <c r="N20" s="89"/>
      <c r="O20" s="89"/>
      <c r="P20" s="90"/>
      <c r="Q20" s="90"/>
      <c r="R20" s="84">
        <f>70.85</f>
        <v>70.849999999999994</v>
      </c>
      <c r="S20" s="84">
        <f>70.85</f>
        <v>70.849999999999994</v>
      </c>
      <c r="T20" s="84">
        <f>70.85</f>
        <v>70.849999999999994</v>
      </c>
      <c r="U20" s="85">
        <f>+IF(ISERR(T20/S20*100),"N/A",T20/S20*100)</f>
        <v>100</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1145</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1146</v>
      </c>
      <c r="C25" s="96"/>
      <c r="D25" s="96"/>
      <c r="E25" s="96"/>
      <c r="F25" s="96"/>
      <c r="G25" s="96"/>
      <c r="H25" s="96"/>
      <c r="I25" s="96"/>
      <c r="J25" s="96"/>
      <c r="K25" s="96"/>
      <c r="L25" s="96"/>
      <c r="M25" s="96"/>
      <c r="N25" s="96"/>
      <c r="O25" s="96"/>
      <c r="P25" s="96"/>
      <c r="Q25" s="96"/>
      <c r="R25" s="96"/>
      <c r="S25" s="96"/>
      <c r="T25" s="96"/>
      <c r="U25" s="95"/>
    </row>
    <row r="26" spans="2:21" ht="34.5" customHeight="1">
      <c r="B26" s="94" t="s">
        <v>1147</v>
      </c>
      <c r="C26" s="96"/>
      <c r="D26" s="96"/>
      <c r="E26" s="96"/>
      <c r="F26" s="96"/>
      <c r="G26" s="96"/>
      <c r="H26" s="96"/>
      <c r="I26" s="96"/>
      <c r="J26" s="96"/>
      <c r="K26" s="96"/>
      <c r="L26" s="96"/>
      <c r="M26" s="96"/>
      <c r="N26" s="96"/>
      <c r="O26" s="96"/>
      <c r="P26" s="96"/>
      <c r="Q26" s="96"/>
      <c r="R26" s="96"/>
      <c r="S26" s="96"/>
      <c r="T26" s="96"/>
      <c r="U26" s="95"/>
    </row>
    <row r="27" spans="2:21" ht="34.5" customHeight="1" thickBot="1">
      <c r="B27" s="97" t="s">
        <v>1148</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1149</v>
      </c>
      <c r="D4" s="15" t="s">
        <v>1150</v>
      </c>
      <c r="E4" s="15"/>
      <c r="F4" s="15"/>
      <c r="G4" s="15"/>
      <c r="H4" s="15"/>
      <c r="I4" s="16"/>
      <c r="J4" s="17" t="s">
        <v>6</v>
      </c>
      <c r="K4" s="18" t="s">
        <v>7</v>
      </c>
      <c r="L4" s="19" t="s">
        <v>8</v>
      </c>
      <c r="M4" s="19"/>
      <c r="N4" s="19"/>
      <c r="O4" s="19"/>
      <c r="P4" s="17" t="s">
        <v>9</v>
      </c>
      <c r="Q4" s="19" t="s">
        <v>592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593</v>
      </c>
      <c r="Q6" s="25"/>
      <c r="R6" s="29"/>
      <c r="S6" s="28" t="s">
        <v>20</v>
      </c>
      <c r="T6" s="25" t="s">
        <v>594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1151</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0" si="0">IF(ISERR(T11/S11*100),"N/A",T11/S11*100)</f>
        <v>N/A</v>
      </c>
    </row>
    <row r="12" spans="1:34" ht="75" customHeight="1" thickTop="1">
      <c r="A12" s="56"/>
      <c r="B12" s="57" t="s">
        <v>46</v>
      </c>
      <c r="C12" s="58" t="s">
        <v>1152</v>
      </c>
      <c r="D12" s="58"/>
      <c r="E12" s="58"/>
      <c r="F12" s="58"/>
      <c r="G12" s="58"/>
      <c r="H12" s="58"/>
      <c r="I12" s="58" t="s">
        <v>1153</v>
      </c>
      <c r="J12" s="58"/>
      <c r="K12" s="58"/>
      <c r="L12" s="58" t="s">
        <v>1154</v>
      </c>
      <c r="M12" s="58"/>
      <c r="N12" s="58"/>
      <c r="O12" s="58"/>
      <c r="P12" s="59" t="s">
        <v>297</v>
      </c>
      <c r="Q12" s="59" t="s">
        <v>41</v>
      </c>
      <c r="R12" s="59">
        <v>10</v>
      </c>
      <c r="S12" s="59" t="s">
        <v>42</v>
      </c>
      <c r="T12" s="59" t="s">
        <v>42</v>
      </c>
      <c r="U12" s="60" t="str">
        <f t="shared" si="0"/>
        <v>N/A</v>
      </c>
    </row>
    <row r="13" spans="1:34" ht="75" customHeight="1">
      <c r="A13" s="56"/>
      <c r="B13" s="61" t="s">
        <v>43</v>
      </c>
      <c r="C13" s="62" t="s">
        <v>43</v>
      </c>
      <c r="D13" s="62"/>
      <c r="E13" s="62"/>
      <c r="F13" s="62"/>
      <c r="G13" s="62"/>
      <c r="H13" s="62"/>
      <c r="I13" s="62" t="s">
        <v>1155</v>
      </c>
      <c r="J13" s="62"/>
      <c r="K13" s="62"/>
      <c r="L13" s="62" t="s">
        <v>1156</v>
      </c>
      <c r="M13" s="62"/>
      <c r="N13" s="62"/>
      <c r="O13" s="62"/>
      <c r="P13" s="63" t="s">
        <v>40</v>
      </c>
      <c r="Q13" s="63" t="s">
        <v>41</v>
      </c>
      <c r="R13" s="63">
        <v>12.5</v>
      </c>
      <c r="S13" s="63" t="s">
        <v>42</v>
      </c>
      <c r="T13" s="63" t="s">
        <v>42</v>
      </c>
      <c r="U13" s="65" t="str">
        <f t="shared" si="0"/>
        <v>N/A</v>
      </c>
    </row>
    <row r="14" spans="1:34" ht="75" customHeight="1" thickBot="1">
      <c r="A14" s="56"/>
      <c r="B14" s="61" t="s">
        <v>43</v>
      </c>
      <c r="C14" s="62" t="s">
        <v>43</v>
      </c>
      <c r="D14" s="62"/>
      <c r="E14" s="62"/>
      <c r="F14" s="62"/>
      <c r="G14" s="62"/>
      <c r="H14" s="62"/>
      <c r="I14" s="62" t="s">
        <v>1157</v>
      </c>
      <c r="J14" s="62"/>
      <c r="K14" s="62"/>
      <c r="L14" s="62" t="s">
        <v>1158</v>
      </c>
      <c r="M14" s="62"/>
      <c r="N14" s="62"/>
      <c r="O14" s="62"/>
      <c r="P14" s="63" t="s">
        <v>297</v>
      </c>
      <c r="Q14" s="63" t="s">
        <v>41</v>
      </c>
      <c r="R14" s="63">
        <v>25</v>
      </c>
      <c r="S14" s="63" t="s">
        <v>42</v>
      </c>
      <c r="T14" s="63" t="s">
        <v>42</v>
      </c>
      <c r="U14" s="65" t="str">
        <f t="shared" si="0"/>
        <v>N/A</v>
      </c>
    </row>
    <row r="15" spans="1:34" ht="75" customHeight="1" thickTop="1">
      <c r="A15" s="56"/>
      <c r="B15" s="57" t="s">
        <v>51</v>
      </c>
      <c r="C15" s="58" t="s">
        <v>1159</v>
      </c>
      <c r="D15" s="58"/>
      <c r="E15" s="58"/>
      <c r="F15" s="58"/>
      <c r="G15" s="58"/>
      <c r="H15" s="58"/>
      <c r="I15" s="58" t="s">
        <v>1160</v>
      </c>
      <c r="J15" s="58"/>
      <c r="K15" s="58"/>
      <c r="L15" s="58" t="s">
        <v>1161</v>
      </c>
      <c r="M15" s="58"/>
      <c r="N15" s="58"/>
      <c r="O15" s="58"/>
      <c r="P15" s="59" t="s">
        <v>40</v>
      </c>
      <c r="Q15" s="59" t="s">
        <v>41</v>
      </c>
      <c r="R15" s="59">
        <v>100</v>
      </c>
      <c r="S15" s="59" t="s">
        <v>42</v>
      </c>
      <c r="T15" s="59" t="s">
        <v>42</v>
      </c>
      <c r="U15" s="60" t="str">
        <f t="shared" si="0"/>
        <v>N/A</v>
      </c>
    </row>
    <row r="16" spans="1:34" ht="75" customHeight="1">
      <c r="A16" s="56"/>
      <c r="B16" s="61" t="s">
        <v>43</v>
      </c>
      <c r="C16" s="62" t="s">
        <v>1162</v>
      </c>
      <c r="D16" s="62"/>
      <c r="E16" s="62"/>
      <c r="F16" s="62"/>
      <c r="G16" s="62"/>
      <c r="H16" s="62"/>
      <c r="I16" s="62" t="s">
        <v>1163</v>
      </c>
      <c r="J16" s="62"/>
      <c r="K16" s="62"/>
      <c r="L16" s="62" t="s">
        <v>1164</v>
      </c>
      <c r="M16" s="62"/>
      <c r="N16" s="62"/>
      <c r="O16" s="62"/>
      <c r="P16" s="63" t="s">
        <v>40</v>
      </c>
      <c r="Q16" s="63" t="s">
        <v>41</v>
      </c>
      <c r="R16" s="63">
        <v>64.290000000000006</v>
      </c>
      <c r="S16" s="63" t="s">
        <v>42</v>
      </c>
      <c r="T16" s="63" t="s">
        <v>42</v>
      </c>
      <c r="U16" s="65" t="str">
        <f t="shared" si="0"/>
        <v>N/A</v>
      </c>
    </row>
    <row r="17" spans="1:22" ht="75" customHeight="1" thickBot="1">
      <c r="A17" s="56"/>
      <c r="B17" s="61" t="s">
        <v>43</v>
      </c>
      <c r="C17" s="62" t="s">
        <v>43</v>
      </c>
      <c r="D17" s="62"/>
      <c r="E17" s="62"/>
      <c r="F17" s="62"/>
      <c r="G17" s="62"/>
      <c r="H17" s="62"/>
      <c r="I17" s="62" t="s">
        <v>1165</v>
      </c>
      <c r="J17" s="62"/>
      <c r="K17" s="62"/>
      <c r="L17" s="62" t="s">
        <v>1166</v>
      </c>
      <c r="M17" s="62"/>
      <c r="N17" s="62"/>
      <c r="O17" s="62"/>
      <c r="P17" s="63" t="s">
        <v>40</v>
      </c>
      <c r="Q17" s="63" t="s">
        <v>41</v>
      </c>
      <c r="R17" s="63">
        <v>85.71</v>
      </c>
      <c r="S17" s="63" t="s">
        <v>42</v>
      </c>
      <c r="T17" s="63" t="s">
        <v>42</v>
      </c>
      <c r="U17" s="65" t="str">
        <f t="shared" si="0"/>
        <v>N/A</v>
      </c>
    </row>
    <row r="18" spans="1:22" ht="75" customHeight="1" thickTop="1">
      <c r="A18" s="56"/>
      <c r="B18" s="57" t="s">
        <v>56</v>
      </c>
      <c r="C18" s="58" t="s">
        <v>1167</v>
      </c>
      <c r="D18" s="58"/>
      <c r="E18" s="58"/>
      <c r="F18" s="58"/>
      <c r="G18" s="58"/>
      <c r="H18" s="58"/>
      <c r="I18" s="58" t="s">
        <v>1168</v>
      </c>
      <c r="J18" s="58"/>
      <c r="K18" s="58"/>
      <c r="L18" s="58" t="s">
        <v>1169</v>
      </c>
      <c r="M18" s="58"/>
      <c r="N18" s="58"/>
      <c r="O18" s="58"/>
      <c r="P18" s="59" t="s">
        <v>40</v>
      </c>
      <c r="Q18" s="59" t="s">
        <v>60</v>
      </c>
      <c r="R18" s="59">
        <v>100</v>
      </c>
      <c r="S18" s="59">
        <v>75</v>
      </c>
      <c r="T18" s="59">
        <v>50</v>
      </c>
      <c r="U18" s="60">
        <f t="shared" si="0"/>
        <v>66.666666666666657</v>
      </c>
    </row>
    <row r="19" spans="1:22" ht="75" customHeight="1">
      <c r="A19" s="56"/>
      <c r="B19" s="61" t="s">
        <v>43</v>
      </c>
      <c r="C19" s="62" t="s">
        <v>1170</v>
      </c>
      <c r="D19" s="62"/>
      <c r="E19" s="62"/>
      <c r="F19" s="62"/>
      <c r="G19" s="62"/>
      <c r="H19" s="62"/>
      <c r="I19" s="62" t="s">
        <v>1171</v>
      </c>
      <c r="J19" s="62"/>
      <c r="K19" s="62"/>
      <c r="L19" s="62" t="s">
        <v>1172</v>
      </c>
      <c r="M19" s="62"/>
      <c r="N19" s="62"/>
      <c r="O19" s="62"/>
      <c r="P19" s="63" t="s">
        <v>40</v>
      </c>
      <c r="Q19" s="63" t="s">
        <v>60</v>
      </c>
      <c r="R19" s="63">
        <v>100</v>
      </c>
      <c r="S19" s="63">
        <v>67.16</v>
      </c>
      <c r="T19" s="63">
        <v>100</v>
      </c>
      <c r="U19" s="65">
        <f t="shared" si="0"/>
        <v>148.89815366289457</v>
      </c>
    </row>
    <row r="20" spans="1:22" ht="75" customHeight="1" thickBot="1">
      <c r="A20" s="56"/>
      <c r="B20" s="61" t="s">
        <v>43</v>
      </c>
      <c r="C20" s="62" t="s">
        <v>1173</v>
      </c>
      <c r="D20" s="62"/>
      <c r="E20" s="62"/>
      <c r="F20" s="62"/>
      <c r="G20" s="62"/>
      <c r="H20" s="62"/>
      <c r="I20" s="62" t="s">
        <v>1174</v>
      </c>
      <c r="J20" s="62"/>
      <c r="K20" s="62"/>
      <c r="L20" s="62" t="s">
        <v>1175</v>
      </c>
      <c r="M20" s="62"/>
      <c r="N20" s="62"/>
      <c r="O20" s="62"/>
      <c r="P20" s="63" t="s">
        <v>40</v>
      </c>
      <c r="Q20" s="63" t="s">
        <v>60</v>
      </c>
      <c r="R20" s="63">
        <v>100</v>
      </c>
      <c r="S20" s="63">
        <v>50</v>
      </c>
      <c r="T20" s="63">
        <v>100</v>
      </c>
      <c r="U20" s="65">
        <f t="shared" si="0"/>
        <v>200</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f>73.282256</f>
        <v>73.282256000000004</v>
      </c>
      <c r="S24" s="84">
        <f>63.440629</f>
        <v>63.440629000000001</v>
      </c>
      <c r="T24" s="84">
        <f>262.463956</f>
        <v>262.463956</v>
      </c>
      <c r="U24" s="85">
        <f>+IF(ISERR(T24/S24*100),"N/A",T24/S24*100)</f>
        <v>413.71587914111007</v>
      </c>
    </row>
    <row r="25" spans="1:22" ht="13.5" customHeight="1" thickBot="1">
      <c r="B25" s="86" t="s">
        <v>69</v>
      </c>
      <c r="C25" s="87"/>
      <c r="D25" s="87"/>
      <c r="E25" s="88"/>
      <c r="F25" s="88"/>
      <c r="G25" s="88"/>
      <c r="H25" s="89"/>
      <c r="I25" s="89"/>
      <c r="J25" s="89"/>
      <c r="K25" s="89"/>
      <c r="L25" s="89"/>
      <c r="M25" s="89"/>
      <c r="N25" s="89"/>
      <c r="O25" s="89"/>
      <c r="P25" s="90"/>
      <c r="Q25" s="90"/>
      <c r="R25" s="84">
        <f>312.467434</f>
        <v>312.46743400000003</v>
      </c>
      <c r="S25" s="84">
        <f>304.11453689</f>
        <v>304.11453689000001</v>
      </c>
      <c r="T25" s="84">
        <f>262.463956</f>
        <v>262.463956</v>
      </c>
      <c r="U25" s="85">
        <f>+IF(ISERR(T25/S25*100),"N/A",T25/S25*100)</f>
        <v>86.30431109412396</v>
      </c>
    </row>
    <row r="26" spans="1:22" ht="14.85"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73</v>
      </c>
      <c r="C28" s="96"/>
      <c r="D28" s="96"/>
      <c r="E28" s="96"/>
      <c r="F28" s="96"/>
      <c r="G28" s="96"/>
      <c r="H28" s="96"/>
      <c r="I28" s="96"/>
      <c r="J28" s="96"/>
      <c r="K28" s="96"/>
      <c r="L28" s="96"/>
      <c r="M28" s="96"/>
      <c r="N28" s="96"/>
      <c r="O28" s="96"/>
      <c r="P28" s="96"/>
      <c r="Q28" s="96"/>
      <c r="R28" s="96"/>
      <c r="S28" s="96"/>
      <c r="T28" s="96"/>
      <c r="U28" s="95"/>
    </row>
    <row r="29" spans="1:22" ht="34.5" customHeight="1">
      <c r="B29" s="94" t="s">
        <v>1176</v>
      </c>
      <c r="C29" s="96"/>
      <c r="D29" s="96"/>
      <c r="E29" s="96"/>
      <c r="F29" s="96"/>
      <c r="G29" s="96"/>
      <c r="H29" s="96"/>
      <c r="I29" s="96"/>
      <c r="J29" s="96"/>
      <c r="K29" s="96"/>
      <c r="L29" s="96"/>
      <c r="M29" s="96"/>
      <c r="N29" s="96"/>
      <c r="O29" s="96"/>
      <c r="P29" s="96"/>
      <c r="Q29" s="96"/>
      <c r="R29" s="96"/>
      <c r="S29" s="96"/>
      <c r="T29" s="96"/>
      <c r="U29" s="95"/>
    </row>
    <row r="30" spans="1:22" ht="34.5" customHeight="1">
      <c r="B30" s="94" t="s">
        <v>1177</v>
      </c>
      <c r="C30" s="96"/>
      <c r="D30" s="96"/>
      <c r="E30" s="96"/>
      <c r="F30" s="96"/>
      <c r="G30" s="96"/>
      <c r="H30" s="96"/>
      <c r="I30" s="96"/>
      <c r="J30" s="96"/>
      <c r="K30" s="96"/>
      <c r="L30" s="96"/>
      <c r="M30" s="96"/>
      <c r="N30" s="96"/>
      <c r="O30" s="96"/>
      <c r="P30" s="96"/>
      <c r="Q30" s="96"/>
      <c r="R30" s="96"/>
      <c r="S30" s="96"/>
      <c r="T30" s="96"/>
      <c r="U30" s="95"/>
    </row>
    <row r="31" spans="1:22" ht="34.5" customHeight="1">
      <c r="B31" s="94" t="s">
        <v>1178</v>
      </c>
      <c r="C31" s="96"/>
      <c r="D31" s="96"/>
      <c r="E31" s="96"/>
      <c r="F31" s="96"/>
      <c r="G31" s="96"/>
      <c r="H31" s="96"/>
      <c r="I31" s="96"/>
      <c r="J31" s="96"/>
      <c r="K31" s="96"/>
      <c r="L31" s="96"/>
      <c r="M31" s="96"/>
      <c r="N31" s="96"/>
      <c r="O31" s="96"/>
      <c r="P31" s="96"/>
      <c r="Q31" s="96"/>
      <c r="R31" s="96"/>
      <c r="S31" s="96"/>
      <c r="T31" s="96"/>
      <c r="U31" s="95"/>
    </row>
    <row r="32" spans="1:22" ht="34.5" customHeight="1">
      <c r="B32" s="94" t="s">
        <v>1179</v>
      </c>
      <c r="C32" s="96"/>
      <c r="D32" s="96"/>
      <c r="E32" s="96"/>
      <c r="F32" s="96"/>
      <c r="G32" s="96"/>
      <c r="H32" s="96"/>
      <c r="I32" s="96"/>
      <c r="J32" s="96"/>
      <c r="K32" s="96"/>
      <c r="L32" s="96"/>
      <c r="M32" s="96"/>
      <c r="N32" s="96"/>
      <c r="O32" s="96"/>
      <c r="P32" s="96"/>
      <c r="Q32" s="96"/>
      <c r="R32" s="96"/>
      <c r="S32" s="96"/>
      <c r="T32" s="96"/>
      <c r="U32" s="95"/>
    </row>
    <row r="33" spans="2:21" ht="34.5" customHeight="1">
      <c r="B33" s="94" t="s">
        <v>1180</v>
      </c>
      <c r="C33" s="96"/>
      <c r="D33" s="96"/>
      <c r="E33" s="96"/>
      <c r="F33" s="96"/>
      <c r="G33" s="96"/>
      <c r="H33" s="96"/>
      <c r="I33" s="96"/>
      <c r="J33" s="96"/>
      <c r="K33" s="96"/>
      <c r="L33" s="96"/>
      <c r="M33" s="96"/>
      <c r="N33" s="96"/>
      <c r="O33" s="96"/>
      <c r="P33" s="96"/>
      <c r="Q33" s="96"/>
      <c r="R33" s="96"/>
      <c r="S33" s="96"/>
      <c r="T33" s="96"/>
      <c r="U33" s="95"/>
    </row>
    <row r="34" spans="2:21" ht="34.5" customHeight="1">
      <c r="B34" s="94" t="s">
        <v>1181</v>
      </c>
      <c r="C34" s="96"/>
      <c r="D34" s="96"/>
      <c r="E34" s="96"/>
      <c r="F34" s="96"/>
      <c r="G34" s="96"/>
      <c r="H34" s="96"/>
      <c r="I34" s="96"/>
      <c r="J34" s="96"/>
      <c r="K34" s="96"/>
      <c r="L34" s="96"/>
      <c r="M34" s="96"/>
      <c r="N34" s="96"/>
      <c r="O34" s="96"/>
      <c r="P34" s="96"/>
      <c r="Q34" s="96"/>
      <c r="R34" s="96"/>
      <c r="S34" s="96"/>
      <c r="T34" s="96"/>
      <c r="U34" s="95"/>
    </row>
    <row r="35" spans="2:21" ht="36" customHeight="1">
      <c r="B35" s="94" t="s">
        <v>1182</v>
      </c>
      <c r="C35" s="96"/>
      <c r="D35" s="96"/>
      <c r="E35" s="96"/>
      <c r="F35" s="96"/>
      <c r="G35" s="96"/>
      <c r="H35" s="96"/>
      <c r="I35" s="96"/>
      <c r="J35" s="96"/>
      <c r="K35" s="96"/>
      <c r="L35" s="96"/>
      <c r="M35" s="96"/>
      <c r="N35" s="96"/>
      <c r="O35" s="96"/>
      <c r="P35" s="96"/>
      <c r="Q35" s="96"/>
      <c r="R35" s="96"/>
      <c r="S35" s="96"/>
      <c r="T35" s="96"/>
      <c r="U35" s="95"/>
    </row>
    <row r="36" spans="2:21" ht="30.95" customHeight="1">
      <c r="B36" s="94" t="s">
        <v>1183</v>
      </c>
      <c r="C36" s="96"/>
      <c r="D36" s="96"/>
      <c r="E36" s="96"/>
      <c r="F36" s="96"/>
      <c r="G36" s="96"/>
      <c r="H36" s="96"/>
      <c r="I36" s="96"/>
      <c r="J36" s="96"/>
      <c r="K36" s="96"/>
      <c r="L36" s="96"/>
      <c r="M36" s="96"/>
      <c r="N36" s="96"/>
      <c r="O36" s="96"/>
      <c r="P36" s="96"/>
      <c r="Q36" s="96"/>
      <c r="R36" s="96"/>
      <c r="S36" s="96"/>
      <c r="T36" s="96"/>
      <c r="U36" s="95"/>
    </row>
    <row r="37" spans="2:21" ht="34.35" customHeight="1" thickBot="1">
      <c r="B37" s="97" t="s">
        <v>1184</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T13" sqref="T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1185</v>
      </c>
      <c r="D4" s="15" t="s">
        <v>1186</v>
      </c>
      <c r="E4" s="15"/>
      <c r="F4" s="15"/>
      <c r="G4" s="15"/>
      <c r="H4" s="15"/>
      <c r="I4" s="16"/>
      <c r="J4" s="17" t="s">
        <v>6</v>
      </c>
      <c r="K4" s="18" t="s">
        <v>7</v>
      </c>
      <c r="L4" s="19" t="s">
        <v>8</v>
      </c>
      <c r="M4" s="19"/>
      <c r="N4" s="19"/>
      <c r="O4" s="19"/>
      <c r="P4" s="17" t="s">
        <v>9</v>
      </c>
      <c r="Q4" s="19" t="s">
        <v>1187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1188</v>
      </c>
      <c r="D11" s="58"/>
      <c r="E11" s="58"/>
      <c r="F11" s="58"/>
      <c r="G11" s="58"/>
      <c r="H11" s="58"/>
      <c r="I11" s="58" t="s">
        <v>1189</v>
      </c>
      <c r="J11" s="58"/>
      <c r="K11" s="58"/>
      <c r="L11" s="58" t="s">
        <v>1190</v>
      </c>
      <c r="M11" s="58"/>
      <c r="N11" s="58"/>
      <c r="O11" s="58"/>
      <c r="P11" s="59" t="s">
        <v>40</v>
      </c>
      <c r="Q11" s="59" t="s">
        <v>41</v>
      </c>
      <c r="R11" s="59">
        <v>0</v>
      </c>
      <c r="S11" s="59" t="s">
        <v>42</v>
      </c>
      <c r="T11" s="59" t="s">
        <v>42</v>
      </c>
      <c r="U11" s="60" t="str">
        <f>IF(ISERR((S11-T11)*100/S11+100),"N/A",(S11-T11)*100/S11+100)</f>
        <v>N/A</v>
      </c>
    </row>
    <row r="12" spans="1:34" ht="75" customHeight="1">
      <c r="A12" s="56"/>
      <c r="B12" s="61" t="s">
        <v>43</v>
      </c>
      <c r="C12" s="62" t="s">
        <v>43</v>
      </c>
      <c r="D12" s="62"/>
      <c r="E12" s="62"/>
      <c r="F12" s="62"/>
      <c r="G12" s="62"/>
      <c r="H12" s="62"/>
      <c r="I12" s="62" t="s">
        <v>1298</v>
      </c>
      <c r="J12" s="62"/>
      <c r="K12" s="62"/>
      <c r="L12" s="62" t="s">
        <v>1191</v>
      </c>
      <c r="M12" s="62"/>
      <c r="N12" s="62"/>
      <c r="O12" s="62"/>
      <c r="P12" s="63" t="s">
        <v>40</v>
      </c>
      <c r="Q12" s="63" t="s">
        <v>41</v>
      </c>
      <c r="R12" s="64">
        <v>75</v>
      </c>
      <c r="S12" s="64" t="s">
        <v>42</v>
      </c>
      <c r="T12" s="64" t="s">
        <v>42</v>
      </c>
      <c r="U12" s="65" t="str">
        <f t="shared" ref="U12:U38" si="0">IF(ISERR(T12/S12*100),"N/A",T12/S12*100)</f>
        <v>N/A</v>
      </c>
    </row>
    <row r="13" spans="1:34" ht="75" customHeight="1" thickBot="1">
      <c r="A13" s="56"/>
      <c r="B13" s="61" t="s">
        <v>43</v>
      </c>
      <c r="C13" s="62" t="s">
        <v>43</v>
      </c>
      <c r="D13" s="62"/>
      <c r="E13" s="62"/>
      <c r="F13" s="62"/>
      <c r="G13" s="62"/>
      <c r="H13" s="62"/>
      <c r="I13" s="62" t="s">
        <v>1192</v>
      </c>
      <c r="J13" s="62"/>
      <c r="K13" s="62"/>
      <c r="L13" s="62" t="s">
        <v>1193</v>
      </c>
      <c r="M13" s="62"/>
      <c r="N13" s="62"/>
      <c r="O13" s="62"/>
      <c r="P13" s="63" t="s">
        <v>40</v>
      </c>
      <c r="Q13" s="63" t="s">
        <v>41</v>
      </c>
      <c r="R13" s="63">
        <v>100</v>
      </c>
      <c r="S13" s="63" t="s">
        <v>42</v>
      </c>
      <c r="T13" s="63" t="s">
        <v>42</v>
      </c>
      <c r="U13" s="65" t="str">
        <f t="shared" si="0"/>
        <v>N/A</v>
      </c>
    </row>
    <row r="14" spans="1:34" ht="75" customHeight="1" thickTop="1">
      <c r="A14" s="56"/>
      <c r="B14" s="57" t="s">
        <v>46</v>
      </c>
      <c r="C14" s="58" t="s">
        <v>1194</v>
      </c>
      <c r="D14" s="58"/>
      <c r="E14" s="58"/>
      <c r="F14" s="58"/>
      <c r="G14" s="58"/>
      <c r="H14" s="58"/>
      <c r="I14" s="58" t="s">
        <v>1195</v>
      </c>
      <c r="J14" s="58"/>
      <c r="K14" s="58"/>
      <c r="L14" s="58" t="s">
        <v>1196</v>
      </c>
      <c r="M14" s="58"/>
      <c r="N14" s="58"/>
      <c r="O14" s="58"/>
      <c r="P14" s="59" t="s">
        <v>40</v>
      </c>
      <c r="Q14" s="59" t="s">
        <v>1197</v>
      </c>
      <c r="R14" s="59">
        <v>95</v>
      </c>
      <c r="S14" s="59" t="s">
        <v>42</v>
      </c>
      <c r="T14" s="59" t="s">
        <v>42</v>
      </c>
      <c r="U14" s="60" t="str">
        <f t="shared" si="0"/>
        <v>N/A</v>
      </c>
    </row>
    <row r="15" spans="1:34" ht="75" customHeight="1">
      <c r="A15" s="56"/>
      <c r="B15" s="61" t="s">
        <v>43</v>
      </c>
      <c r="C15" s="62" t="s">
        <v>43</v>
      </c>
      <c r="D15" s="62"/>
      <c r="E15" s="62"/>
      <c r="F15" s="62"/>
      <c r="G15" s="62"/>
      <c r="H15" s="62"/>
      <c r="I15" s="62" t="s">
        <v>1198</v>
      </c>
      <c r="J15" s="62"/>
      <c r="K15" s="62"/>
      <c r="L15" s="62" t="s">
        <v>1199</v>
      </c>
      <c r="M15" s="62"/>
      <c r="N15" s="62"/>
      <c r="O15" s="62"/>
      <c r="P15" s="63" t="s">
        <v>40</v>
      </c>
      <c r="Q15" s="63" t="s">
        <v>41</v>
      </c>
      <c r="R15" s="63">
        <v>100</v>
      </c>
      <c r="S15" s="63" t="s">
        <v>42</v>
      </c>
      <c r="T15" s="63" t="s">
        <v>42</v>
      </c>
      <c r="U15" s="65" t="str">
        <f t="shared" si="0"/>
        <v>N/A</v>
      </c>
    </row>
    <row r="16" spans="1:34" ht="75" customHeight="1" thickBot="1">
      <c r="A16" s="56"/>
      <c r="B16" s="61" t="s">
        <v>43</v>
      </c>
      <c r="C16" s="62" t="s">
        <v>43</v>
      </c>
      <c r="D16" s="62"/>
      <c r="E16" s="62"/>
      <c r="F16" s="62"/>
      <c r="G16" s="62"/>
      <c r="H16" s="62"/>
      <c r="I16" s="62" t="s">
        <v>1200</v>
      </c>
      <c r="J16" s="62"/>
      <c r="K16" s="62"/>
      <c r="L16" s="62" t="s">
        <v>1201</v>
      </c>
      <c r="M16" s="62"/>
      <c r="N16" s="62"/>
      <c r="O16" s="62"/>
      <c r="P16" s="63" t="s">
        <v>40</v>
      </c>
      <c r="Q16" s="63" t="s">
        <v>41</v>
      </c>
      <c r="R16" s="63">
        <v>100</v>
      </c>
      <c r="S16" s="63" t="s">
        <v>42</v>
      </c>
      <c r="T16" s="63" t="s">
        <v>42</v>
      </c>
      <c r="U16" s="65" t="str">
        <f t="shared" si="0"/>
        <v>N/A</v>
      </c>
    </row>
    <row r="17" spans="1:21" ht="75" customHeight="1" thickTop="1">
      <c r="A17" s="56"/>
      <c r="B17" s="57" t="s">
        <v>51</v>
      </c>
      <c r="C17" s="58" t="s">
        <v>1202</v>
      </c>
      <c r="D17" s="58"/>
      <c r="E17" s="58"/>
      <c r="F17" s="58"/>
      <c r="G17" s="58"/>
      <c r="H17" s="58"/>
      <c r="I17" s="58" t="s">
        <v>1203</v>
      </c>
      <c r="J17" s="58"/>
      <c r="K17" s="58"/>
      <c r="L17" s="58" t="s">
        <v>1204</v>
      </c>
      <c r="M17" s="58"/>
      <c r="N17" s="58"/>
      <c r="O17" s="58"/>
      <c r="P17" s="59" t="s">
        <v>40</v>
      </c>
      <c r="Q17" s="59" t="s">
        <v>60</v>
      </c>
      <c r="R17" s="59">
        <v>100</v>
      </c>
      <c r="S17" s="59">
        <v>58.33</v>
      </c>
      <c r="T17" s="59">
        <v>58.33</v>
      </c>
      <c r="U17" s="60">
        <f t="shared" si="0"/>
        <v>100</v>
      </c>
    </row>
    <row r="18" spans="1:21" ht="75" customHeight="1">
      <c r="A18" s="56"/>
      <c r="B18" s="61" t="s">
        <v>43</v>
      </c>
      <c r="C18" s="62" t="s">
        <v>1205</v>
      </c>
      <c r="D18" s="62"/>
      <c r="E18" s="62"/>
      <c r="F18" s="62"/>
      <c r="G18" s="62"/>
      <c r="H18" s="62"/>
      <c r="I18" s="62" t="s">
        <v>1206</v>
      </c>
      <c r="J18" s="62"/>
      <c r="K18" s="62"/>
      <c r="L18" s="62" t="s">
        <v>1207</v>
      </c>
      <c r="M18" s="62"/>
      <c r="N18" s="62"/>
      <c r="O18" s="62"/>
      <c r="P18" s="63" t="s">
        <v>40</v>
      </c>
      <c r="Q18" s="63" t="s">
        <v>60</v>
      </c>
      <c r="R18" s="63">
        <v>100</v>
      </c>
      <c r="S18" s="63">
        <v>75.45</v>
      </c>
      <c r="T18" s="63">
        <v>75.45</v>
      </c>
      <c r="U18" s="65">
        <f t="shared" si="0"/>
        <v>100</v>
      </c>
    </row>
    <row r="19" spans="1:21" ht="75" customHeight="1">
      <c r="A19" s="56"/>
      <c r="B19" s="61" t="s">
        <v>43</v>
      </c>
      <c r="C19" s="62" t="s">
        <v>1208</v>
      </c>
      <c r="D19" s="62"/>
      <c r="E19" s="62"/>
      <c r="F19" s="62"/>
      <c r="G19" s="62"/>
      <c r="H19" s="62"/>
      <c r="I19" s="62" t="s">
        <v>1209</v>
      </c>
      <c r="J19" s="62"/>
      <c r="K19" s="62"/>
      <c r="L19" s="62" t="s">
        <v>1210</v>
      </c>
      <c r="M19" s="62"/>
      <c r="N19" s="62"/>
      <c r="O19" s="62"/>
      <c r="P19" s="63" t="s">
        <v>40</v>
      </c>
      <c r="Q19" s="63" t="s">
        <v>60</v>
      </c>
      <c r="R19" s="63">
        <v>100</v>
      </c>
      <c r="S19" s="63">
        <v>68.53</v>
      </c>
      <c r="T19" s="63">
        <v>68.540000000000006</v>
      </c>
      <c r="U19" s="65">
        <f t="shared" si="0"/>
        <v>100.01459214942361</v>
      </c>
    </row>
    <row r="20" spans="1:21" ht="75" customHeight="1">
      <c r="A20" s="56"/>
      <c r="B20" s="61" t="s">
        <v>43</v>
      </c>
      <c r="C20" s="62" t="s">
        <v>43</v>
      </c>
      <c r="D20" s="62"/>
      <c r="E20" s="62"/>
      <c r="F20" s="62"/>
      <c r="G20" s="62"/>
      <c r="H20" s="62"/>
      <c r="I20" s="62" t="s">
        <v>1211</v>
      </c>
      <c r="J20" s="62"/>
      <c r="K20" s="62"/>
      <c r="L20" s="62" t="s">
        <v>1212</v>
      </c>
      <c r="M20" s="62"/>
      <c r="N20" s="62"/>
      <c r="O20" s="62"/>
      <c r="P20" s="63" t="s">
        <v>40</v>
      </c>
      <c r="Q20" s="63" t="s">
        <v>116</v>
      </c>
      <c r="R20" s="63">
        <v>100</v>
      </c>
      <c r="S20" s="63">
        <v>58.62</v>
      </c>
      <c r="T20" s="63">
        <v>58.62</v>
      </c>
      <c r="U20" s="65">
        <f t="shared" si="0"/>
        <v>100</v>
      </c>
    </row>
    <row r="21" spans="1:21" ht="75" customHeight="1">
      <c r="A21" s="56"/>
      <c r="B21" s="61" t="s">
        <v>43</v>
      </c>
      <c r="C21" s="62" t="s">
        <v>1213</v>
      </c>
      <c r="D21" s="62"/>
      <c r="E21" s="62"/>
      <c r="F21" s="62"/>
      <c r="G21" s="62"/>
      <c r="H21" s="62"/>
      <c r="I21" s="62" t="s">
        <v>1214</v>
      </c>
      <c r="J21" s="62"/>
      <c r="K21" s="62"/>
      <c r="L21" s="62" t="s">
        <v>1215</v>
      </c>
      <c r="M21" s="62"/>
      <c r="N21" s="62"/>
      <c r="O21" s="62"/>
      <c r="P21" s="63" t="s">
        <v>40</v>
      </c>
      <c r="Q21" s="63" t="s">
        <v>116</v>
      </c>
      <c r="R21" s="63">
        <v>25</v>
      </c>
      <c r="S21" s="63">
        <v>5</v>
      </c>
      <c r="T21" s="63">
        <v>19.66</v>
      </c>
      <c r="U21" s="65">
        <f t="shared" si="0"/>
        <v>393.2</v>
      </c>
    </row>
    <row r="22" spans="1:21" ht="75" customHeight="1">
      <c r="A22" s="56"/>
      <c r="B22" s="61" t="s">
        <v>43</v>
      </c>
      <c r="C22" s="62" t="s">
        <v>1216</v>
      </c>
      <c r="D22" s="62"/>
      <c r="E22" s="62"/>
      <c r="F22" s="62"/>
      <c r="G22" s="62"/>
      <c r="H22" s="62"/>
      <c r="I22" s="62" t="s">
        <v>1217</v>
      </c>
      <c r="J22" s="62"/>
      <c r="K22" s="62"/>
      <c r="L22" s="62" t="s">
        <v>1218</v>
      </c>
      <c r="M22" s="62"/>
      <c r="N22" s="62"/>
      <c r="O22" s="62"/>
      <c r="P22" s="63" t="s">
        <v>40</v>
      </c>
      <c r="Q22" s="63" t="s">
        <v>55</v>
      </c>
      <c r="R22" s="63">
        <v>100</v>
      </c>
      <c r="S22" s="63">
        <v>68.959999999999994</v>
      </c>
      <c r="T22" s="63">
        <v>68.97</v>
      </c>
      <c r="U22" s="65">
        <f t="shared" si="0"/>
        <v>100.01450116009281</v>
      </c>
    </row>
    <row r="23" spans="1:21" ht="75" customHeight="1">
      <c r="A23" s="56"/>
      <c r="B23" s="61" t="s">
        <v>43</v>
      </c>
      <c r="C23" s="62" t="s">
        <v>1219</v>
      </c>
      <c r="D23" s="62"/>
      <c r="E23" s="62"/>
      <c r="F23" s="62"/>
      <c r="G23" s="62"/>
      <c r="H23" s="62"/>
      <c r="I23" s="62" t="s">
        <v>1220</v>
      </c>
      <c r="J23" s="62"/>
      <c r="K23" s="62"/>
      <c r="L23" s="62" t="s">
        <v>1221</v>
      </c>
      <c r="M23" s="62"/>
      <c r="N23" s="62"/>
      <c r="O23" s="62"/>
      <c r="P23" s="63" t="s">
        <v>40</v>
      </c>
      <c r="Q23" s="63" t="s">
        <v>60</v>
      </c>
      <c r="R23" s="63">
        <v>100</v>
      </c>
      <c r="S23" s="63">
        <v>75</v>
      </c>
      <c r="T23" s="63">
        <v>80.69</v>
      </c>
      <c r="U23" s="65">
        <f t="shared" si="0"/>
        <v>107.58666666666666</v>
      </c>
    </row>
    <row r="24" spans="1:21" ht="75" customHeight="1">
      <c r="A24" s="56"/>
      <c r="B24" s="61" t="s">
        <v>43</v>
      </c>
      <c r="C24" s="62" t="s">
        <v>1222</v>
      </c>
      <c r="D24" s="62"/>
      <c r="E24" s="62"/>
      <c r="F24" s="62"/>
      <c r="G24" s="62"/>
      <c r="H24" s="62"/>
      <c r="I24" s="62" t="s">
        <v>1223</v>
      </c>
      <c r="J24" s="62"/>
      <c r="K24" s="62"/>
      <c r="L24" s="62" t="s">
        <v>1224</v>
      </c>
      <c r="M24" s="62"/>
      <c r="N24" s="62"/>
      <c r="O24" s="62"/>
      <c r="P24" s="63" t="s">
        <v>40</v>
      </c>
      <c r="Q24" s="63" t="s">
        <v>60</v>
      </c>
      <c r="R24" s="63">
        <v>100</v>
      </c>
      <c r="S24" s="63">
        <v>75.010000000000005</v>
      </c>
      <c r="T24" s="63">
        <v>75.02</v>
      </c>
      <c r="U24" s="65">
        <f t="shared" si="0"/>
        <v>100.01333155579255</v>
      </c>
    </row>
    <row r="25" spans="1:21" ht="75" customHeight="1" thickBot="1">
      <c r="A25" s="56"/>
      <c r="B25" s="61" t="s">
        <v>43</v>
      </c>
      <c r="C25" s="62" t="s">
        <v>1225</v>
      </c>
      <c r="D25" s="62"/>
      <c r="E25" s="62"/>
      <c r="F25" s="62"/>
      <c r="G25" s="62"/>
      <c r="H25" s="62"/>
      <c r="I25" s="62" t="s">
        <v>1226</v>
      </c>
      <c r="J25" s="62"/>
      <c r="K25" s="62"/>
      <c r="L25" s="62" t="s">
        <v>1227</v>
      </c>
      <c r="M25" s="62"/>
      <c r="N25" s="62"/>
      <c r="O25" s="62"/>
      <c r="P25" s="63" t="s">
        <v>40</v>
      </c>
      <c r="Q25" s="63" t="s">
        <v>60</v>
      </c>
      <c r="R25" s="63">
        <v>100</v>
      </c>
      <c r="S25" s="63">
        <v>75</v>
      </c>
      <c r="T25" s="63">
        <v>75</v>
      </c>
      <c r="U25" s="65">
        <f t="shared" si="0"/>
        <v>100</v>
      </c>
    </row>
    <row r="26" spans="1:21" ht="75" customHeight="1" thickTop="1">
      <c r="A26" s="56"/>
      <c r="B26" s="57" t="s">
        <v>56</v>
      </c>
      <c r="C26" s="58" t="s">
        <v>1228</v>
      </c>
      <c r="D26" s="58"/>
      <c r="E26" s="58"/>
      <c r="F26" s="58"/>
      <c r="G26" s="58"/>
      <c r="H26" s="58"/>
      <c r="I26" s="58" t="s">
        <v>1229</v>
      </c>
      <c r="J26" s="58"/>
      <c r="K26" s="58"/>
      <c r="L26" s="58" t="s">
        <v>1230</v>
      </c>
      <c r="M26" s="58"/>
      <c r="N26" s="58"/>
      <c r="O26" s="58"/>
      <c r="P26" s="59" t="s">
        <v>40</v>
      </c>
      <c r="Q26" s="59" t="s">
        <v>60</v>
      </c>
      <c r="R26" s="59">
        <v>100</v>
      </c>
      <c r="S26" s="59">
        <v>50</v>
      </c>
      <c r="T26" s="59">
        <v>50</v>
      </c>
      <c r="U26" s="60">
        <f t="shared" si="0"/>
        <v>100</v>
      </c>
    </row>
    <row r="27" spans="1:21" ht="75" customHeight="1">
      <c r="A27" s="56"/>
      <c r="B27" s="61" t="s">
        <v>43</v>
      </c>
      <c r="C27" s="62" t="s">
        <v>1231</v>
      </c>
      <c r="D27" s="62"/>
      <c r="E27" s="62"/>
      <c r="F27" s="62"/>
      <c r="G27" s="62"/>
      <c r="H27" s="62"/>
      <c r="I27" s="62" t="s">
        <v>1232</v>
      </c>
      <c r="J27" s="62"/>
      <c r="K27" s="62"/>
      <c r="L27" s="62" t="s">
        <v>1233</v>
      </c>
      <c r="M27" s="62"/>
      <c r="N27" s="62"/>
      <c r="O27" s="62"/>
      <c r="P27" s="63" t="s">
        <v>40</v>
      </c>
      <c r="Q27" s="63" t="s">
        <v>60</v>
      </c>
      <c r="R27" s="63">
        <v>100</v>
      </c>
      <c r="S27" s="63">
        <v>58.33</v>
      </c>
      <c r="T27" s="63">
        <v>58.33</v>
      </c>
      <c r="U27" s="65">
        <f t="shared" si="0"/>
        <v>100</v>
      </c>
    </row>
    <row r="28" spans="1:21" ht="75" customHeight="1">
      <c r="A28" s="56"/>
      <c r="B28" s="61" t="s">
        <v>43</v>
      </c>
      <c r="C28" s="62" t="s">
        <v>1234</v>
      </c>
      <c r="D28" s="62"/>
      <c r="E28" s="62"/>
      <c r="F28" s="62"/>
      <c r="G28" s="62"/>
      <c r="H28" s="62"/>
      <c r="I28" s="62" t="s">
        <v>1235</v>
      </c>
      <c r="J28" s="62"/>
      <c r="K28" s="62"/>
      <c r="L28" s="62" t="s">
        <v>1236</v>
      </c>
      <c r="M28" s="62"/>
      <c r="N28" s="62"/>
      <c r="O28" s="62"/>
      <c r="P28" s="63" t="s">
        <v>40</v>
      </c>
      <c r="Q28" s="63" t="s">
        <v>60</v>
      </c>
      <c r="R28" s="63">
        <v>100</v>
      </c>
      <c r="S28" s="63">
        <v>75.14</v>
      </c>
      <c r="T28" s="63">
        <v>75.150000000000006</v>
      </c>
      <c r="U28" s="65">
        <f t="shared" si="0"/>
        <v>100.01330849081715</v>
      </c>
    </row>
    <row r="29" spans="1:21" ht="75" customHeight="1">
      <c r="A29" s="56"/>
      <c r="B29" s="61" t="s">
        <v>43</v>
      </c>
      <c r="C29" s="62" t="s">
        <v>1237</v>
      </c>
      <c r="D29" s="62"/>
      <c r="E29" s="62"/>
      <c r="F29" s="62"/>
      <c r="G29" s="62"/>
      <c r="H29" s="62"/>
      <c r="I29" s="62" t="s">
        <v>1238</v>
      </c>
      <c r="J29" s="62"/>
      <c r="K29" s="62"/>
      <c r="L29" s="62" t="s">
        <v>1239</v>
      </c>
      <c r="M29" s="62"/>
      <c r="N29" s="62"/>
      <c r="O29" s="62"/>
      <c r="P29" s="63" t="s">
        <v>40</v>
      </c>
      <c r="Q29" s="63" t="s">
        <v>60</v>
      </c>
      <c r="R29" s="63">
        <v>100</v>
      </c>
      <c r="S29" s="63">
        <v>75.14</v>
      </c>
      <c r="T29" s="63">
        <v>75.150000000000006</v>
      </c>
      <c r="U29" s="65">
        <f t="shared" si="0"/>
        <v>100.01330849081715</v>
      </c>
    </row>
    <row r="30" spans="1:21" ht="75" customHeight="1">
      <c r="A30" s="56"/>
      <c r="B30" s="61" t="s">
        <v>43</v>
      </c>
      <c r="C30" s="62" t="s">
        <v>1240</v>
      </c>
      <c r="D30" s="62"/>
      <c r="E30" s="62"/>
      <c r="F30" s="62"/>
      <c r="G30" s="62"/>
      <c r="H30" s="62"/>
      <c r="I30" s="62" t="s">
        <v>1241</v>
      </c>
      <c r="J30" s="62"/>
      <c r="K30" s="62"/>
      <c r="L30" s="62" t="s">
        <v>1242</v>
      </c>
      <c r="M30" s="62"/>
      <c r="N30" s="62"/>
      <c r="O30" s="62"/>
      <c r="P30" s="63" t="s">
        <v>40</v>
      </c>
      <c r="Q30" s="63" t="s">
        <v>60</v>
      </c>
      <c r="R30" s="63">
        <v>100</v>
      </c>
      <c r="S30" s="63">
        <v>66.66</v>
      </c>
      <c r="T30" s="63">
        <v>100</v>
      </c>
      <c r="U30" s="65">
        <f t="shared" si="0"/>
        <v>150.01500150015002</v>
      </c>
    </row>
    <row r="31" spans="1:21" ht="75" customHeight="1">
      <c r="A31" s="56"/>
      <c r="B31" s="61" t="s">
        <v>43</v>
      </c>
      <c r="C31" s="62" t="s">
        <v>1243</v>
      </c>
      <c r="D31" s="62"/>
      <c r="E31" s="62"/>
      <c r="F31" s="62"/>
      <c r="G31" s="62"/>
      <c r="H31" s="62"/>
      <c r="I31" s="62" t="s">
        <v>1244</v>
      </c>
      <c r="J31" s="62"/>
      <c r="K31" s="62"/>
      <c r="L31" s="62" t="s">
        <v>1245</v>
      </c>
      <c r="M31" s="62"/>
      <c r="N31" s="62"/>
      <c r="O31" s="62"/>
      <c r="P31" s="63" t="s">
        <v>40</v>
      </c>
      <c r="Q31" s="63" t="s">
        <v>60</v>
      </c>
      <c r="R31" s="63">
        <v>100</v>
      </c>
      <c r="S31" s="63">
        <v>68.55</v>
      </c>
      <c r="T31" s="63">
        <v>68.55</v>
      </c>
      <c r="U31" s="65">
        <f t="shared" si="0"/>
        <v>100</v>
      </c>
    </row>
    <row r="32" spans="1:21" ht="75" customHeight="1">
      <c r="A32" s="56"/>
      <c r="B32" s="61" t="s">
        <v>43</v>
      </c>
      <c r="C32" s="62" t="s">
        <v>1246</v>
      </c>
      <c r="D32" s="62"/>
      <c r="E32" s="62"/>
      <c r="F32" s="62"/>
      <c r="G32" s="62"/>
      <c r="H32" s="62"/>
      <c r="I32" s="62" t="s">
        <v>1247</v>
      </c>
      <c r="J32" s="62"/>
      <c r="K32" s="62"/>
      <c r="L32" s="62" t="s">
        <v>1248</v>
      </c>
      <c r="M32" s="62"/>
      <c r="N32" s="62"/>
      <c r="O32" s="62"/>
      <c r="P32" s="63" t="s">
        <v>40</v>
      </c>
      <c r="Q32" s="63" t="s">
        <v>60</v>
      </c>
      <c r="R32" s="63">
        <v>100</v>
      </c>
      <c r="S32" s="63">
        <v>77.77</v>
      </c>
      <c r="T32" s="63">
        <v>77.77</v>
      </c>
      <c r="U32" s="65">
        <f t="shared" si="0"/>
        <v>100</v>
      </c>
    </row>
    <row r="33" spans="1:22" ht="75" customHeight="1">
      <c r="A33" s="56"/>
      <c r="B33" s="61" t="s">
        <v>43</v>
      </c>
      <c r="C33" s="62" t="s">
        <v>1249</v>
      </c>
      <c r="D33" s="62"/>
      <c r="E33" s="62"/>
      <c r="F33" s="62"/>
      <c r="G33" s="62"/>
      <c r="H33" s="62"/>
      <c r="I33" s="62" t="s">
        <v>1250</v>
      </c>
      <c r="J33" s="62"/>
      <c r="K33" s="62"/>
      <c r="L33" s="62" t="s">
        <v>1251</v>
      </c>
      <c r="M33" s="62"/>
      <c r="N33" s="62"/>
      <c r="O33" s="62"/>
      <c r="P33" s="63" t="s">
        <v>40</v>
      </c>
      <c r="Q33" s="63" t="s">
        <v>60</v>
      </c>
      <c r="R33" s="63">
        <v>100</v>
      </c>
      <c r="S33" s="63">
        <v>96.43</v>
      </c>
      <c r="T33" s="63">
        <v>96.43</v>
      </c>
      <c r="U33" s="65">
        <f t="shared" si="0"/>
        <v>100</v>
      </c>
    </row>
    <row r="34" spans="1:22" ht="75" customHeight="1">
      <c r="A34" s="56"/>
      <c r="B34" s="61" t="s">
        <v>43</v>
      </c>
      <c r="C34" s="62" t="s">
        <v>1252</v>
      </c>
      <c r="D34" s="62"/>
      <c r="E34" s="62"/>
      <c r="F34" s="62"/>
      <c r="G34" s="62"/>
      <c r="H34" s="62"/>
      <c r="I34" s="62" t="s">
        <v>1253</v>
      </c>
      <c r="J34" s="62"/>
      <c r="K34" s="62"/>
      <c r="L34" s="62" t="s">
        <v>1254</v>
      </c>
      <c r="M34" s="62"/>
      <c r="N34" s="62"/>
      <c r="O34" s="62"/>
      <c r="P34" s="63" t="s">
        <v>40</v>
      </c>
      <c r="Q34" s="63" t="s">
        <v>60</v>
      </c>
      <c r="R34" s="63">
        <v>100</v>
      </c>
      <c r="S34" s="63">
        <v>75.39</v>
      </c>
      <c r="T34" s="63">
        <v>75.39</v>
      </c>
      <c r="U34" s="65">
        <f t="shared" si="0"/>
        <v>100</v>
      </c>
    </row>
    <row r="35" spans="1:22" ht="75" customHeight="1">
      <c r="A35" s="56"/>
      <c r="B35" s="61" t="s">
        <v>43</v>
      </c>
      <c r="C35" s="62" t="s">
        <v>1255</v>
      </c>
      <c r="D35" s="62"/>
      <c r="E35" s="62"/>
      <c r="F35" s="62"/>
      <c r="G35" s="62"/>
      <c r="H35" s="62"/>
      <c r="I35" s="62" t="s">
        <v>1256</v>
      </c>
      <c r="J35" s="62"/>
      <c r="K35" s="62"/>
      <c r="L35" s="62" t="s">
        <v>1257</v>
      </c>
      <c r="M35" s="62"/>
      <c r="N35" s="62"/>
      <c r="O35" s="62"/>
      <c r="P35" s="63" t="s">
        <v>40</v>
      </c>
      <c r="Q35" s="63" t="s">
        <v>60</v>
      </c>
      <c r="R35" s="63">
        <v>100</v>
      </c>
      <c r="S35" s="63">
        <v>50</v>
      </c>
      <c r="T35" s="63">
        <v>50</v>
      </c>
      <c r="U35" s="65">
        <f t="shared" si="0"/>
        <v>100</v>
      </c>
    </row>
    <row r="36" spans="1:22" ht="75" customHeight="1">
      <c r="A36" s="56"/>
      <c r="B36" s="61" t="s">
        <v>43</v>
      </c>
      <c r="C36" s="62" t="s">
        <v>1258</v>
      </c>
      <c r="D36" s="62"/>
      <c r="E36" s="62"/>
      <c r="F36" s="62"/>
      <c r="G36" s="62"/>
      <c r="H36" s="62"/>
      <c r="I36" s="62" t="s">
        <v>1259</v>
      </c>
      <c r="J36" s="62"/>
      <c r="K36" s="62"/>
      <c r="L36" s="62" t="s">
        <v>1260</v>
      </c>
      <c r="M36" s="62"/>
      <c r="N36" s="62"/>
      <c r="O36" s="62"/>
      <c r="P36" s="63" t="s">
        <v>40</v>
      </c>
      <c r="Q36" s="63" t="s">
        <v>60</v>
      </c>
      <c r="R36" s="63">
        <v>100</v>
      </c>
      <c r="S36" s="63">
        <v>75</v>
      </c>
      <c r="T36" s="63">
        <v>80.69</v>
      </c>
      <c r="U36" s="65">
        <f t="shared" si="0"/>
        <v>107.58666666666666</v>
      </c>
    </row>
    <row r="37" spans="1:22" ht="75" customHeight="1">
      <c r="A37" s="56"/>
      <c r="B37" s="61" t="s">
        <v>43</v>
      </c>
      <c r="C37" s="62" t="s">
        <v>1261</v>
      </c>
      <c r="D37" s="62"/>
      <c r="E37" s="62"/>
      <c r="F37" s="62"/>
      <c r="G37" s="62"/>
      <c r="H37" s="62"/>
      <c r="I37" s="62" t="s">
        <v>1262</v>
      </c>
      <c r="J37" s="62"/>
      <c r="K37" s="62"/>
      <c r="L37" s="62" t="s">
        <v>1224</v>
      </c>
      <c r="M37" s="62"/>
      <c r="N37" s="62"/>
      <c r="O37" s="62"/>
      <c r="P37" s="63" t="s">
        <v>40</v>
      </c>
      <c r="Q37" s="63" t="s">
        <v>60</v>
      </c>
      <c r="R37" s="63">
        <v>100</v>
      </c>
      <c r="S37" s="63">
        <v>75.010000000000005</v>
      </c>
      <c r="T37" s="63">
        <v>75.02</v>
      </c>
      <c r="U37" s="65">
        <f t="shared" si="0"/>
        <v>100.01333155579255</v>
      </c>
    </row>
    <row r="38" spans="1:22" ht="75" customHeight="1" thickBot="1">
      <c r="A38" s="56"/>
      <c r="B38" s="61" t="s">
        <v>43</v>
      </c>
      <c r="C38" s="62" t="s">
        <v>1263</v>
      </c>
      <c r="D38" s="62"/>
      <c r="E38" s="62"/>
      <c r="F38" s="62"/>
      <c r="G38" s="62"/>
      <c r="H38" s="62"/>
      <c r="I38" s="62" t="s">
        <v>1264</v>
      </c>
      <c r="J38" s="62"/>
      <c r="K38" s="62"/>
      <c r="L38" s="62" t="s">
        <v>1265</v>
      </c>
      <c r="M38" s="62"/>
      <c r="N38" s="62"/>
      <c r="O38" s="62"/>
      <c r="P38" s="63" t="s">
        <v>40</v>
      </c>
      <c r="Q38" s="63" t="s">
        <v>60</v>
      </c>
      <c r="R38" s="63">
        <v>100</v>
      </c>
      <c r="S38" s="63">
        <v>75</v>
      </c>
      <c r="T38" s="63">
        <v>75</v>
      </c>
      <c r="U38" s="65">
        <f t="shared" si="0"/>
        <v>100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f>194.09388</f>
        <v>194.09388000000001</v>
      </c>
      <c r="S42" s="84">
        <f>191.09388</f>
        <v>191.09388000000001</v>
      </c>
      <c r="T42" s="84">
        <f>197.797639</f>
        <v>197.797639</v>
      </c>
      <c r="U42" s="85">
        <f>+IF(ISERR(T42/S42*100),"N/A",T42/S42*100)</f>
        <v>103.50809717192408</v>
      </c>
    </row>
    <row r="43" spans="1:22" ht="13.5" customHeight="1" thickBot="1">
      <c r="B43" s="86" t="s">
        <v>69</v>
      </c>
      <c r="C43" s="87"/>
      <c r="D43" s="87"/>
      <c r="E43" s="88"/>
      <c r="F43" s="88"/>
      <c r="G43" s="88"/>
      <c r="H43" s="89"/>
      <c r="I43" s="89"/>
      <c r="J43" s="89"/>
      <c r="K43" s="89"/>
      <c r="L43" s="89"/>
      <c r="M43" s="89"/>
      <c r="N43" s="89"/>
      <c r="O43" s="89"/>
      <c r="P43" s="90"/>
      <c r="Q43" s="90"/>
      <c r="R43" s="84">
        <f>203.19388</f>
        <v>203.19388000000001</v>
      </c>
      <c r="S43" s="84">
        <f>200.19388</f>
        <v>200.19388000000001</v>
      </c>
      <c r="T43" s="84">
        <f>197.797639</f>
        <v>197.797639</v>
      </c>
      <c r="U43" s="85">
        <f>+IF(ISERR(T43/S43*100),"N/A",T43/S43*100)</f>
        <v>98.803039833185707</v>
      </c>
    </row>
    <row r="44" spans="1:22" ht="14.85"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34.5" customHeight="1">
      <c r="B46" s="94" t="s">
        <v>1266</v>
      </c>
      <c r="C46" s="96"/>
      <c r="D46" s="96"/>
      <c r="E46" s="96"/>
      <c r="F46" s="96"/>
      <c r="G46" s="96"/>
      <c r="H46" s="96"/>
      <c r="I46" s="96"/>
      <c r="J46" s="96"/>
      <c r="K46" s="96"/>
      <c r="L46" s="96"/>
      <c r="M46" s="96"/>
      <c r="N46" s="96"/>
      <c r="O46" s="96"/>
      <c r="P46" s="96"/>
      <c r="Q46" s="96"/>
      <c r="R46" s="96"/>
      <c r="S46" s="96"/>
      <c r="T46" s="96"/>
      <c r="U46" s="95"/>
    </row>
    <row r="47" spans="1:22" ht="34.5" customHeight="1">
      <c r="B47" s="94" t="s">
        <v>1267</v>
      </c>
      <c r="C47" s="96"/>
      <c r="D47" s="96"/>
      <c r="E47" s="96"/>
      <c r="F47" s="96"/>
      <c r="G47" s="96"/>
      <c r="H47" s="96"/>
      <c r="I47" s="96"/>
      <c r="J47" s="96"/>
      <c r="K47" s="96"/>
      <c r="L47" s="96"/>
      <c r="M47" s="96"/>
      <c r="N47" s="96"/>
      <c r="O47" s="96"/>
      <c r="P47" s="96"/>
      <c r="Q47" s="96"/>
      <c r="R47" s="96"/>
      <c r="S47" s="96"/>
      <c r="T47" s="96"/>
      <c r="U47" s="95"/>
    </row>
    <row r="48" spans="1:22" ht="34.5" customHeight="1">
      <c r="B48" s="94" t="s">
        <v>1268</v>
      </c>
      <c r="C48" s="96"/>
      <c r="D48" s="96"/>
      <c r="E48" s="96"/>
      <c r="F48" s="96"/>
      <c r="G48" s="96"/>
      <c r="H48" s="96"/>
      <c r="I48" s="96"/>
      <c r="J48" s="96"/>
      <c r="K48" s="96"/>
      <c r="L48" s="96"/>
      <c r="M48" s="96"/>
      <c r="N48" s="96"/>
      <c r="O48" s="96"/>
      <c r="P48" s="96"/>
      <c r="Q48" s="96"/>
      <c r="R48" s="96"/>
      <c r="S48" s="96"/>
      <c r="T48" s="96"/>
      <c r="U48" s="95"/>
    </row>
    <row r="49" spans="2:21" ht="34.5" customHeight="1">
      <c r="B49" s="94" t="s">
        <v>1269</v>
      </c>
      <c r="C49" s="96"/>
      <c r="D49" s="96"/>
      <c r="E49" s="96"/>
      <c r="F49" s="96"/>
      <c r="G49" s="96"/>
      <c r="H49" s="96"/>
      <c r="I49" s="96"/>
      <c r="J49" s="96"/>
      <c r="K49" s="96"/>
      <c r="L49" s="96"/>
      <c r="M49" s="96"/>
      <c r="N49" s="96"/>
      <c r="O49" s="96"/>
      <c r="P49" s="96"/>
      <c r="Q49" s="96"/>
      <c r="R49" s="96"/>
      <c r="S49" s="96"/>
      <c r="T49" s="96"/>
      <c r="U49" s="95"/>
    </row>
    <row r="50" spans="2:21" ht="34.5" customHeight="1">
      <c r="B50" s="94" t="s">
        <v>1270</v>
      </c>
      <c r="C50" s="96"/>
      <c r="D50" s="96"/>
      <c r="E50" s="96"/>
      <c r="F50" s="96"/>
      <c r="G50" s="96"/>
      <c r="H50" s="96"/>
      <c r="I50" s="96"/>
      <c r="J50" s="96"/>
      <c r="K50" s="96"/>
      <c r="L50" s="96"/>
      <c r="M50" s="96"/>
      <c r="N50" s="96"/>
      <c r="O50" s="96"/>
      <c r="P50" s="96"/>
      <c r="Q50" s="96"/>
      <c r="R50" s="96"/>
      <c r="S50" s="96"/>
      <c r="T50" s="96"/>
      <c r="U50" s="95"/>
    </row>
    <row r="51" spans="2:21" ht="34.5" customHeight="1">
      <c r="B51" s="94" t="s">
        <v>1271</v>
      </c>
      <c r="C51" s="96"/>
      <c r="D51" s="96"/>
      <c r="E51" s="96"/>
      <c r="F51" s="96"/>
      <c r="G51" s="96"/>
      <c r="H51" s="96"/>
      <c r="I51" s="96"/>
      <c r="J51" s="96"/>
      <c r="K51" s="96"/>
      <c r="L51" s="96"/>
      <c r="M51" s="96"/>
      <c r="N51" s="96"/>
      <c r="O51" s="96"/>
      <c r="P51" s="96"/>
      <c r="Q51" s="96"/>
      <c r="R51" s="96"/>
      <c r="S51" s="96"/>
      <c r="T51" s="96"/>
      <c r="U51" s="95"/>
    </row>
    <row r="52" spans="2:21" ht="18" customHeight="1">
      <c r="B52" s="94" t="s">
        <v>1272</v>
      </c>
      <c r="C52" s="96"/>
      <c r="D52" s="96"/>
      <c r="E52" s="96"/>
      <c r="F52" s="96"/>
      <c r="G52" s="96"/>
      <c r="H52" s="96"/>
      <c r="I52" s="96"/>
      <c r="J52" s="96"/>
      <c r="K52" s="96"/>
      <c r="L52" s="96"/>
      <c r="M52" s="96"/>
      <c r="N52" s="96"/>
      <c r="O52" s="96"/>
      <c r="P52" s="96"/>
      <c r="Q52" s="96"/>
      <c r="R52" s="96"/>
      <c r="S52" s="96"/>
      <c r="T52" s="96"/>
      <c r="U52" s="95"/>
    </row>
    <row r="53" spans="2:21" ht="17.850000000000001" customHeight="1">
      <c r="B53" s="94" t="s">
        <v>1273</v>
      </c>
      <c r="C53" s="96"/>
      <c r="D53" s="96"/>
      <c r="E53" s="96"/>
      <c r="F53" s="96"/>
      <c r="G53" s="96"/>
      <c r="H53" s="96"/>
      <c r="I53" s="96"/>
      <c r="J53" s="96"/>
      <c r="K53" s="96"/>
      <c r="L53" s="96"/>
      <c r="M53" s="96"/>
      <c r="N53" s="96"/>
      <c r="O53" s="96"/>
      <c r="P53" s="96"/>
      <c r="Q53" s="96"/>
      <c r="R53" s="96"/>
      <c r="S53" s="96"/>
      <c r="T53" s="96"/>
      <c r="U53" s="95"/>
    </row>
    <row r="54" spans="2:21" ht="17.25" customHeight="1">
      <c r="B54" s="94" t="s">
        <v>1274</v>
      </c>
      <c r="C54" s="96"/>
      <c r="D54" s="96"/>
      <c r="E54" s="96"/>
      <c r="F54" s="96"/>
      <c r="G54" s="96"/>
      <c r="H54" s="96"/>
      <c r="I54" s="96"/>
      <c r="J54" s="96"/>
      <c r="K54" s="96"/>
      <c r="L54" s="96"/>
      <c r="M54" s="96"/>
      <c r="N54" s="96"/>
      <c r="O54" s="96"/>
      <c r="P54" s="96"/>
      <c r="Q54" s="96"/>
      <c r="R54" s="96"/>
      <c r="S54" s="96"/>
      <c r="T54" s="96"/>
      <c r="U54" s="95"/>
    </row>
    <row r="55" spans="2:21" ht="18.95" customHeight="1">
      <c r="B55" s="94" t="s">
        <v>1275</v>
      </c>
      <c r="C55" s="96"/>
      <c r="D55" s="96"/>
      <c r="E55" s="96"/>
      <c r="F55" s="96"/>
      <c r="G55" s="96"/>
      <c r="H55" s="96"/>
      <c r="I55" s="96"/>
      <c r="J55" s="96"/>
      <c r="K55" s="96"/>
      <c r="L55" s="96"/>
      <c r="M55" s="96"/>
      <c r="N55" s="96"/>
      <c r="O55" s="96"/>
      <c r="P55" s="96"/>
      <c r="Q55" s="96"/>
      <c r="R55" s="96"/>
      <c r="S55" s="96"/>
      <c r="T55" s="96"/>
      <c r="U55" s="95"/>
    </row>
    <row r="56" spans="2:21" ht="46.5" customHeight="1">
      <c r="B56" s="94" t="s">
        <v>1276</v>
      </c>
      <c r="C56" s="96"/>
      <c r="D56" s="96"/>
      <c r="E56" s="96"/>
      <c r="F56" s="96"/>
      <c r="G56" s="96"/>
      <c r="H56" s="96"/>
      <c r="I56" s="96"/>
      <c r="J56" s="96"/>
      <c r="K56" s="96"/>
      <c r="L56" s="96"/>
      <c r="M56" s="96"/>
      <c r="N56" s="96"/>
      <c r="O56" s="96"/>
      <c r="P56" s="96"/>
      <c r="Q56" s="96"/>
      <c r="R56" s="96"/>
      <c r="S56" s="96"/>
      <c r="T56" s="96"/>
      <c r="U56" s="95"/>
    </row>
    <row r="57" spans="2:21" ht="18.75" customHeight="1">
      <c r="B57" s="94" t="s">
        <v>1277</v>
      </c>
      <c r="C57" s="96"/>
      <c r="D57" s="96"/>
      <c r="E57" s="96"/>
      <c r="F57" s="96"/>
      <c r="G57" s="96"/>
      <c r="H57" s="96"/>
      <c r="I57" s="96"/>
      <c r="J57" s="96"/>
      <c r="K57" s="96"/>
      <c r="L57" s="96"/>
      <c r="M57" s="96"/>
      <c r="N57" s="96"/>
      <c r="O57" s="96"/>
      <c r="P57" s="96"/>
      <c r="Q57" s="96"/>
      <c r="R57" s="96"/>
      <c r="S57" s="96"/>
      <c r="T57" s="96"/>
      <c r="U57" s="95"/>
    </row>
    <row r="58" spans="2:21" ht="40.700000000000003" customHeight="1">
      <c r="B58" s="94" t="s">
        <v>1278</v>
      </c>
      <c r="C58" s="96"/>
      <c r="D58" s="96"/>
      <c r="E58" s="96"/>
      <c r="F58" s="96"/>
      <c r="G58" s="96"/>
      <c r="H58" s="96"/>
      <c r="I58" s="96"/>
      <c r="J58" s="96"/>
      <c r="K58" s="96"/>
      <c r="L58" s="96"/>
      <c r="M58" s="96"/>
      <c r="N58" s="96"/>
      <c r="O58" s="96"/>
      <c r="P58" s="96"/>
      <c r="Q58" s="96"/>
      <c r="R58" s="96"/>
      <c r="S58" s="96"/>
      <c r="T58" s="96"/>
      <c r="U58" s="95"/>
    </row>
    <row r="59" spans="2:21" ht="19.7" customHeight="1">
      <c r="B59" s="94" t="s">
        <v>1279</v>
      </c>
      <c r="C59" s="96"/>
      <c r="D59" s="96"/>
      <c r="E59" s="96"/>
      <c r="F59" s="96"/>
      <c r="G59" s="96"/>
      <c r="H59" s="96"/>
      <c r="I59" s="96"/>
      <c r="J59" s="96"/>
      <c r="K59" s="96"/>
      <c r="L59" s="96"/>
      <c r="M59" s="96"/>
      <c r="N59" s="96"/>
      <c r="O59" s="96"/>
      <c r="P59" s="96"/>
      <c r="Q59" s="96"/>
      <c r="R59" s="96"/>
      <c r="S59" s="96"/>
      <c r="T59" s="96"/>
      <c r="U59" s="95"/>
    </row>
    <row r="60" spans="2:21" ht="18.75" customHeight="1">
      <c r="B60" s="94" t="s">
        <v>1280</v>
      </c>
      <c r="C60" s="96"/>
      <c r="D60" s="96"/>
      <c r="E60" s="96"/>
      <c r="F60" s="96"/>
      <c r="G60" s="96"/>
      <c r="H60" s="96"/>
      <c r="I60" s="96"/>
      <c r="J60" s="96"/>
      <c r="K60" s="96"/>
      <c r="L60" s="96"/>
      <c r="M60" s="96"/>
      <c r="N60" s="96"/>
      <c r="O60" s="96"/>
      <c r="P60" s="96"/>
      <c r="Q60" s="96"/>
      <c r="R60" s="96"/>
      <c r="S60" s="96"/>
      <c r="T60" s="96"/>
      <c r="U60" s="95"/>
    </row>
    <row r="61" spans="2:21" ht="17.850000000000001" customHeight="1">
      <c r="B61" s="94" t="s">
        <v>1281</v>
      </c>
      <c r="C61" s="96"/>
      <c r="D61" s="96"/>
      <c r="E61" s="96"/>
      <c r="F61" s="96"/>
      <c r="G61" s="96"/>
      <c r="H61" s="96"/>
      <c r="I61" s="96"/>
      <c r="J61" s="96"/>
      <c r="K61" s="96"/>
      <c r="L61" s="96"/>
      <c r="M61" s="96"/>
      <c r="N61" s="96"/>
      <c r="O61" s="96"/>
      <c r="P61" s="96"/>
      <c r="Q61" s="96"/>
      <c r="R61" s="96"/>
      <c r="S61" s="96"/>
      <c r="T61" s="96"/>
      <c r="U61" s="95"/>
    </row>
    <row r="62" spans="2:21" ht="34.5" customHeight="1">
      <c r="B62" s="94" t="s">
        <v>1282</v>
      </c>
      <c r="C62" s="96"/>
      <c r="D62" s="96"/>
      <c r="E62" s="96"/>
      <c r="F62" s="96"/>
      <c r="G62" s="96"/>
      <c r="H62" s="96"/>
      <c r="I62" s="96"/>
      <c r="J62" s="96"/>
      <c r="K62" s="96"/>
      <c r="L62" s="96"/>
      <c r="M62" s="96"/>
      <c r="N62" s="96"/>
      <c r="O62" s="96"/>
      <c r="P62" s="96"/>
      <c r="Q62" s="96"/>
      <c r="R62" s="96"/>
      <c r="S62" s="96"/>
      <c r="T62" s="96"/>
      <c r="U62" s="95"/>
    </row>
    <row r="63" spans="2:21" ht="17.100000000000001" customHeight="1">
      <c r="B63" s="94" t="s">
        <v>1283</v>
      </c>
      <c r="C63" s="96"/>
      <c r="D63" s="96"/>
      <c r="E63" s="96"/>
      <c r="F63" s="96"/>
      <c r="G63" s="96"/>
      <c r="H63" s="96"/>
      <c r="I63" s="96"/>
      <c r="J63" s="96"/>
      <c r="K63" s="96"/>
      <c r="L63" s="96"/>
      <c r="M63" s="96"/>
      <c r="N63" s="96"/>
      <c r="O63" s="96"/>
      <c r="P63" s="96"/>
      <c r="Q63" s="96"/>
      <c r="R63" s="96"/>
      <c r="S63" s="96"/>
      <c r="T63" s="96"/>
      <c r="U63" s="95"/>
    </row>
    <row r="64" spans="2:21" ht="34.5" customHeight="1">
      <c r="B64" s="94" t="s">
        <v>1284</v>
      </c>
      <c r="C64" s="96"/>
      <c r="D64" s="96"/>
      <c r="E64" s="96"/>
      <c r="F64" s="96"/>
      <c r="G64" s="96"/>
      <c r="H64" s="96"/>
      <c r="I64" s="96"/>
      <c r="J64" s="96"/>
      <c r="K64" s="96"/>
      <c r="L64" s="96"/>
      <c r="M64" s="96"/>
      <c r="N64" s="96"/>
      <c r="O64" s="96"/>
      <c r="P64" s="96"/>
      <c r="Q64" s="96"/>
      <c r="R64" s="96"/>
      <c r="S64" s="96"/>
      <c r="T64" s="96"/>
      <c r="U64" s="95"/>
    </row>
    <row r="65" spans="2:21" ht="45" customHeight="1">
      <c r="B65" s="94" t="s">
        <v>1285</v>
      </c>
      <c r="C65" s="96"/>
      <c r="D65" s="96"/>
      <c r="E65" s="96"/>
      <c r="F65" s="96"/>
      <c r="G65" s="96"/>
      <c r="H65" s="96"/>
      <c r="I65" s="96"/>
      <c r="J65" s="96"/>
      <c r="K65" s="96"/>
      <c r="L65" s="96"/>
      <c r="M65" s="96"/>
      <c r="N65" s="96"/>
      <c r="O65" s="96"/>
      <c r="P65" s="96"/>
      <c r="Q65" s="96"/>
      <c r="R65" s="96"/>
      <c r="S65" s="96"/>
      <c r="T65" s="96"/>
      <c r="U65" s="95"/>
    </row>
    <row r="66" spans="2:21" ht="17.100000000000001" customHeight="1">
      <c r="B66" s="94" t="s">
        <v>1286</v>
      </c>
      <c r="C66" s="96"/>
      <c r="D66" s="96"/>
      <c r="E66" s="96"/>
      <c r="F66" s="96"/>
      <c r="G66" s="96"/>
      <c r="H66" s="96"/>
      <c r="I66" s="96"/>
      <c r="J66" s="96"/>
      <c r="K66" s="96"/>
      <c r="L66" s="96"/>
      <c r="M66" s="96"/>
      <c r="N66" s="96"/>
      <c r="O66" s="96"/>
      <c r="P66" s="96"/>
      <c r="Q66" s="96"/>
      <c r="R66" s="96"/>
      <c r="S66" s="96"/>
      <c r="T66" s="96"/>
      <c r="U66" s="95"/>
    </row>
    <row r="67" spans="2:21" ht="17.850000000000001" customHeight="1">
      <c r="B67" s="94" t="s">
        <v>1287</v>
      </c>
      <c r="C67" s="96"/>
      <c r="D67" s="96"/>
      <c r="E67" s="96"/>
      <c r="F67" s="96"/>
      <c r="G67" s="96"/>
      <c r="H67" s="96"/>
      <c r="I67" s="96"/>
      <c r="J67" s="96"/>
      <c r="K67" s="96"/>
      <c r="L67" s="96"/>
      <c r="M67" s="96"/>
      <c r="N67" s="96"/>
      <c r="O67" s="96"/>
      <c r="P67" s="96"/>
      <c r="Q67" s="96"/>
      <c r="R67" s="96"/>
      <c r="S67" s="96"/>
      <c r="T67" s="96"/>
      <c r="U67" s="95"/>
    </row>
    <row r="68" spans="2:21" ht="23.1" customHeight="1">
      <c r="B68" s="94" t="s">
        <v>1288</v>
      </c>
      <c r="C68" s="96"/>
      <c r="D68" s="96"/>
      <c r="E68" s="96"/>
      <c r="F68" s="96"/>
      <c r="G68" s="96"/>
      <c r="H68" s="96"/>
      <c r="I68" s="96"/>
      <c r="J68" s="96"/>
      <c r="K68" s="96"/>
      <c r="L68" s="96"/>
      <c r="M68" s="96"/>
      <c r="N68" s="96"/>
      <c r="O68" s="96"/>
      <c r="P68" s="96"/>
      <c r="Q68" s="96"/>
      <c r="R68" s="96"/>
      <c r="S68" s="96"/>
      <c r="T68" s="96"/>
      <c r="U68" s="95"/>
    </row>
    <row r="69" spans="2:21" ht="18" customHeight="1">
      <c r="B69" s="94" t="s">
        <v>1289</v>
      </c>
      <c r="C69" s="96"/>
      <c r="D69" s="96"/>
      <c r="E69" s="96"/>
      <c r="F69" s="96"/>
      <c r="G69" s="96"/>
      <c r="H69" s="96"/>
      <c r="I69" s="96"/>
      <c r="J69" s="96"/>
      <c r="K69" s="96"/>
      <c r="L69" s="96"/>
      <c r="M69" s="96"/>
      <c r="N69" s="96"/>
      <c r="O69" s="96"/>
      <c r="P69" s="96"/>
      <c r="Q69" s="96"/>
      <c r="R69" s="96"/>
      <c r="S69" s="96"/>
      <c r="T69" s="96"/>
      <c r="U69" s="95"/>
    </row>
    <row r="70" spans="2:21" ht="18.75" customHeight="1">
      <c r="B70" s="94" t="s">
        <v>1290</v>
      </c>
      <c r="C70" s="96"/>
      <c r="D70" s="96"/>
      <c r="E70" s="96"/>
      <c r="F70" s="96"/>
      <c r="G70" s="96"/>
      <c r="H70" s="96"/>
      <c r="I70" s="96"/>
      <c r="J70" s="96"/>
      <c r="K70" s="96"/>
      <c r="L70" s="96"/>
      <c r="M70" s="96"/>
      <c r="N70" s="96"/>
      <c r="O70" s="96"/>
      <c r="P70" s="96"/>
      <c r="Q70" s="96"/>
      <c r="R70" s="96"/>
      <c r="S70" s="96"/>
      <c r="T70" s="96"/>
      <c r="U70" s="95"/>
    </row>
    <row r="71" spans="2:21" ht="39.950000000000003" customHeight="1">
      <c r="B71" s="94" t="s">
        <v>1291</v>
      </c>
      <c r="C71" s="96"/>
      <c r="D71" s="96"/>
      <c r="E71" s="96"/>
      <c r="F71" s="96"/>
      <c r="G71" s="96"/>
      <c r="H71" s="96"/>
      <c r="I71" s="96"/>
      <c r="J71" s="96"/>
      <c r="K71" s="96"/>
      <c r="L71" s="96"/>
      <c r="M71" s="96"/>
      <c r="N71" s="96"/>
      <c r="O71" s="96"/>
      <c r="P71" s="96"/>
      <c r="Q71" s="96"/>
      <c r="R71" s="96"/>
      <c r="S71" s="96"/>
      <c r="T71" s="96"/>
      <c r="U71" s="95"/>
    </row>
    <row r="72" spans="2:21" ht="19.7" customHeight="1">
      <c r="B72" s="94" t="s">
        <v>1292</v>
      </c>
      <c r="C72" s="96"/>
      <c r="D72" s="96"/>
      <c r="E72" s="96"/>
      <c r="F72" s="96"/>
      <c r="G72" s="96"/>
      <c r="H72" s="96"/>
      <c r="I72" s="96"/>
      <c r="J72" s="96"/>
      <c r="K72" s="96"/>
      <c r="L72" s="96"/>
      <c r="M72" s="96"/>
      <c r="N72" s="96"/>
      <c r="O72" s="96"/>
      <c r="P72" s="96"/>
      <c r="Q72" s="96"/>
      <c r="R72" s="96"/>
      <c r="S72" s="96"/>
      <c r="T72" s="96"/>
      <c r="U72" s="95"/>
    </row>
    <row r="73" spans="2:21" ht="17.45" customHeight="1" thickBot="1">
      <c r="B73" s="97" t="s">
        <v>1293</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1" si="0">IF(ISERR(T11/S11*100),"N/A",T11/S11*100)</f>
        <v>N/A</v>
      </c>
    </row>
    <row r="12" spans="1:34" ht="75" customHeight="1" thickTop="1">
      <c r="A12" s="56"/>
      <c r="B12" s="57" t="s">
        <v>46</v>
      </c>
      <c r="C12" s="58" t="s">
        <v>85</v>
      </c>
      <c r="D12" s="58"/>
      <c r="E12" s="58"/>
      <c r="F12" s="58"/>
      <c r="G12" s="58"/>
      <c r="H12" s="58"/>
      <c r="I12" s="58" t="s">
        <v>86</v>
      </c>
      <c r="J12" s="58"/>
      <c r="K12" s="58"/>
      <c r="L12" s="58" t="s">
        <v>87</v>
      </c>
      <c r="M12" s="58"/>
      <c r="N12" s="58"/>
      <c r="O12" s="58"/>
      <c r="P12" s="59" t="s">
        <v>40</v>
      </c>
      <c r="Q12" s="59" t="s">
        <v>41</v>
      </c>
      <c r="R12" s="59">
        <v>20</v>
      </c>
      <c r="S12" s="59" t="s">
        <v>42</v>
      </c>
      <c r="T12" s="59" t="s">
        <v>42</v>
      </c>
      <c r="U12" s="60" t="str">
        <f t="shared" si="0"/>
        <v>N/A</v>
      </c>
    </row>
    <row r="13" spans="1:34" ht="75" customHeight="1" thickBot="1">
      <c r="A13" s="56"/>
      <c r="B13" s="61" t="s">
        <v>43</v>
      </c>
      <c r="C13" s="62" t="s">
        <v>43</v>
      </c>
      <c r="D13" s="62"/>
      <c r="E13" s="62"/>
      <c r="F13" s="62"/>
      <c r="G13" s="62"/>
      <c r="H13" s="62"/>
      <c r="I13" s="62" t="s">
        <v>88</v>
      </c>
      <c r="J13" s="62"/>
      <c r="K13" s="62"/>
      <c r="L13" s="62" t="s">
        <v>89</v>
      </c>
      <c r="M13" s="62"/>
      <c r="N13" s="62"/>
      <c r="O13" s="62"/>
      <c r="P13" s="63" t="s">
        <v>40</v>
      </c>
      <c r="Q13" s="63" t="s">
        <v>41</v>
      </c>
      <c r="R13" s="63">
        <v>73.06</v>
      </c>
      <c r="S13" s="63" t="s">
        <v>42</v>
      </c>
      <c r="T13" s="63" t="s">
        <v>42</v>
      </c>
      <c r="U13" s="65" t="str">
        <f t="shared" si="0"/>
        <v>N/A</v>
      </c>
    </row>
    <row r="14" spans="1:34" ht="75" customHeight="1" thickTop="1">
      <c r="A14" s="56"/>
      <c r="B14" s="57" t="s">
        <v>51</v>
      </c>
      <c r="C14" s="58" t="s">
        <v>90</v>
      </c>
      <c r="D14" s="58"/>
      <c r="E14" s="58"/>
      <c r="F14" s="58"/>
      <c r="G14" s="58"/>
      <c r="H14" s="58"/>
      <c r="I14" s="58" t="s">
        <v>91</v>
      </c>
      <c r="J14" s="58"/>
      <c r="K14" s="58"/>
      <c r="L14" s="58" t="s">
        <v>92</v>
      </c>
      <c r="M14" s="58"/>
      <c r="N14" s="58"/>
      <c r="O14" s="58"/>
      <c r="P14" s="59" t="s">
        <v>40</v>
      </c>
      <c r="Q14" s="59" t="s">
        <v>93</v>
      </c>
      <c r="R14" s="59">
        <v>90</v>
      </c>
      <c r="S14" s="59">
        <v>40</v>
      </c>
      <c r="T14" s="59">
        <v>43.5</v>
      </c>
      <c r="U14" s="60">
        <f t="shared" si="0"/>
        <v>108.74999999999999</v>
      </c>
    </row>
    <row r="15" spans="1:34" ht="75" customHeight="1">
      <c r="A15" s="56"/>
      <c r="B15" s="61" t="s">
        <v>43</v>
      </c>
      <c r="C15" s="62" t="s">
        <v>94</v>
      </c>
      <c r="D15" s="62"/>
      <c r="E15" s="62"/>
      <c r="F15" s="62"/>
      <c r="G15" s="62"/>
      <c r="H15" s="62"/>
      <c r="I15" s="62" t="s">
        <v>95</v>
      </c>
      <c r="J15" s="62"/>
      <c r="K15" s="62"/>
      <c r="L15" s="62" t="s">
        <v>96</v>
      </c>
      <c r="M15" s="62"/>
      <c r="N15" s="62"/>
      <c r="O15" s="62"/>
      <c r="P15" s="63" t="s">
        <v>40</v>
      </c>
      <c r="Q15" s="63" t="s">
        <v>41</v>
      </c>
      <c r="R15" s="63">
        <v>39.1</v>
      </c>
      <c r="S15" s="63" t="s">
        <v>42</v>
      </c>
      <c r="T15" s="63" t="s">
        <v>42</v>
      </c>
      <c r="U15" s="65" t="str">
        <f t="shared" si="0"/>
        <v>N/A</v>
      </c>
    </row>
    <row r="16" spans="1:34" ht="75" customHeight="1">
      <c r="A16" s="56"/>
      <c r="B16" s="61" t="s">
        <v>43</v>
      </c>
      <c r="C16" s="62" t="s">
        <v>97</v>
      </c>
      <c r="D16" s="62"/>
      <c r="E16" s="62"/>
      <c r="F16" s="62"/>
      <c r="G16" s="62"/>
      <c r="H16" s="62"/>
      <c r="I16" s="62" t="s">
        <v>98</v>
      </c>
      <c r="J16" s="62"/>
      <c r="K16" s="62"/>
      <c r="L16" s="62" t="s">
        <v>99</v>
      </c>
      <c r="M16" s="62"/>
      <c r="N16" s="62"/>
      <c r="O16" s="62"/>
      <c r="P16" s="63" t="s">
        <v>40</v>
      </c>
      <c r="Q16" s="63" t="s">
        <v>41</v>
      </c>
      <c r="R16" s="63">
        <v>70.83</v>
      </c>
      <c r="S16" s="63" t="s">
        <v>42</v>
      </c>
      <c r="T16" s="63" t="s">
        <v>42</v>
      </c>
      <c r="U16" s="65" t="str">
        <f t="shared" si="0"/>
        <v>N/A</v>
      </c>
    </row>
    <row r="17" spans="1:22" ht="75" customHeight="1" thickBot="1">
      <c r="A17" s="56"/>
      <c r="B17" s="61" t="s">
        <v>43</v>
      </c>
      <c r="C17" s="62" t="s">
        <v>100</v>
      </c>
      <c r="D17" s="62"/>
      <c r="E17" s="62"/>
      <c r="F17" s="62"/>
      <c r="G17" s="62"/>
      <c r="H17" s="62"/>
      <c r="I17" s="62" t="s">
        <v>101</v>
      </c>
      <c r="J17" s="62"/>
      <c r="K17" s="62"/>
      <c r="L17" s="62" t="s">
        <v>102</v>
      </c>
      <c r="M17" s="62"/>
      <c r="N17" s="62"/>
      <c r="O17" s="62"/>
      <c r="P17" s="63" t="s">
        <v>40</v>
      </c>
      <c r="Q17" s="63" t="s">
        <v>93</v>
      </c>
      <c r="R17" s="63">
        <v>85.45</v>
      </c>
      <c r="S17" s="63">
        <v>28.54</v>
      </c>
      <c r="T17" s="63">
        <v>29.09</v>
      </c>
      <c r="U17" s="65">
        <f t="shared" si="0"/>
        <v>101.92711983181499</v>
      </c>
    </row>
    <row r="18" spans="1:22" ht="75" customHeight="1" thickTop="1">
      <c r="A18" s="56"/>
      <c r="B18" s="57" t="s">
        <v>56</v>
      </c>
      <c r="C18" s="58" t="s">
        <v>103</v>
      </c>
      <c r="D18" s="58"/>
      <c r="E18" s="58"/>
      <c r="F18" s="58"/>
      <c r="G18" s="58"/>
      <c r="H18" s="58"/>
      <c r="I18" s="58" t="s">
        <v>104</v>
      </c>
      <c r="J18" s="58"/>
      <c r="K18" s="58"/>
      <c r="L18" s="58" t="s">
        <v>105</v>
      </c>
      <c r="M18" s="58"/>
      <c r="N18" s="58"/>
      <c r="O18" s="58"/>
      <c r="P18" s="59" t="s">
        <v>40</v>
      </c>
      <c r="Q18" s="59" t="s">
        <v>106</v>
      </c>
      <c r="R18" s="59">
        <v>85.71</v>
      </c>
      <c r="S18" s="59" t="s">
        <v>42</v>
      </c>
      <c r="T18" s="59" t="s">
        <v>42</v>
      </c>
      <c r="U18" s="60" t="str">
        <f t="shared" si="0"/>
        <v>N/A</v>
      </c>
    </row>
    <row r="19" spans="1:22" ht="75" customHeight="1">
      <c r="A19" s="56"/>
      <c r="B19" s="61" t="s">
        <v>43</v>
      </c>
      <c r="C19" s="62" t="s">
        <v>107</v>
      </c>
      <c r="D19" s="62"/>
      <c r="E19" s="62"/>
      <c r="F19" s="62"/>
      <c r="G19" s="62"/>
      <c r="H19" s="62"/>
      <c r="I19" s="62" t="s">
        <v>108</v>
      </c>
      <c r="J19" s="62"/>
      <c r="K19" s="62"/>
      <c r="L19" s="62" t="s">
        <v>109</v>
      </c>
      <c r="M19" s="62"/>
      <c r="N19" s="62"/>
      <c r="O19" s="62"/>
      <c r="P19" s="63" t="s">
        <v>40</v>
      </c>
      <c r="Q19" s="63" t="s">
        <v>106</v>
      </c>
      <c r="R19" s="63">
        <v>69.42</v>
      </c>
      <c r="S19" s="63" t="s">
        <v>42</v>
      </c>
      <c r="T19" s="63" t="s">
        <v>42</v>
      </c>
      <c r="U19" s="65" t="str">
        <f t="shared" si="0"/>
        <v>N/A</v>
      </c>
    </row>
    <row r="20" spans="1:22" ht="75" customHeight="1">
      <c r="A20" s="56"/>
      <c r="B20" s="61" t="s">
        <v>43</v>
      </c>
      <c r="C20" s="62" t="s">
        <v>110</v>
      </c>
      <c r="D20" s="62"/>
      <c r="E20" s="62"/>
      <c r="F20" s="62"/>
      <c r="G20" s="62"/>
      <c r="H20" s="62"/>
      <c r="I20" s="62" t="s">
        <v>111</v>
      </c>
      <c r="J20" s="62"/>
      <c r="K20" s="62"/>
      <c r="L20" s="62" t="s">
        <v>112</v>
      </c>
      <c r="M20" s="62"/>
      <c r="N20" s="62"/>
      <c r="O20" s="62"/>
      <c r="P20" s="63" t="s">
        <v>40</v>
      </c>
      <c r="Q20" s="63" t="s">
        <v>106</v>
      </c>
      <c r="R20" s="63">
        <v>100</v>
      </c>
      <c r="S20" s="63" t="s">
        <v>42</v>
      </c>
      <c r="T20" s="63" t="s">
        <v>42</v>
      </c>
      <c r="U20" s="65" t="str">
        <f t="shared" si="0"/>
        <v>N/A</v>
      </c>
    </row>
    <row r="21" spans="1:22" ht="75" customHeight="1" thickBot="1">
      <c r="A21" s="56"/>
      <c r="B21" s="61" t="s">
        <v>43</v>
      </c>
      <c r="C21" s="62" t="s">
        <v>113</v>
      </c>
      <c r="D21" s="62"/>
      <c r="E21" s="62"/>
      <c r="F21" s="62"/>
      <c r="G21" s="62"/>
      <c r="H21" s="62"/>
      <c r="I21" s="62" t="s">
        <v>114</v>
      </c>
      <c r="J21" s="62"/>
      <c r="K21" s="62"/>
      <c r="L21" s="62" t="s">
        <v>115</v>
      </c>
      <c r="M21" s="62"/>
      <c r="N21" s="62"/>
      <c r="O21" s="62"/>
      <c r="P21" s="63" t="s">
        <v>40</v>
      </c>
      <c r="Q21" s="63" t="s">
        <v>116</v>
      </c>
      <c r="R21" s="63">
        <v>88.89</v>
      </c>
      <c r="S21" s="63">
        <v>38.89</v>
      </c>
      <c r="T21" s="63">
        <v>44.44</v>
      </c>
      <c r="U21" s="65">
        <f t="shared" si="0"/>
        <v>114.27102082797633</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3511.235109</f>
        <v>3511.2351090000002</v>
      </c>
      <c r="S25" s="84">
        <f>2783.066391</f>
        <v>2783.0663909999998</v>
      </c>
      <c r="T25" s="84">
        <f>2922.98595992</f>
        <v>2922.9859599199999</v>
      </c>
      <c r="U25" s="85">
        <f>+IF(ISERR(T25/S25*100),"N/A",T25/S25*100)</f>
        <v>105.02753255806179</v>
      </c>
    </row>
    <row r="26" spans="1:22" ht="13.5" customHeight="1" thickBot="1">
      <c r="B26" s="86" t="s">
        <v>69</v>
      </c>
      <c r="C26" s="87"/>
      <c r="D26" s="87"/>
      <c r="E26" s="88"/>
      <c r="F26" s="88"/>
      <c r="G26" s="88"/>
      <c r="H26" s="89"/>
      <c r="I26" s="89"/>
      <c r="J26" s="89"/>
      <c r="K26" s="89"/>
      <c r="L26" s="89"/>
      <c r="M26" s="89"/>
      <c r="N26" s="89"/>
      <c r="O26" s="89"/>
      <c r="P26" s="90"/>
      <c r="Q26" s="90"/>
      <c r="R26" s="84">
        <f>3564.59123311</f>
        <v>3564.5912331099998</v>
      </c>
      <c r="S26" s="84">
        <f>2940.33386</f>
        <v>2940.3338600000002</v>
      </c>
      <c r="T26" s="84">
        <f>2922.98595992</f>
        <v>2922.9859599199999</v>
      </c>
      <c r="U26" s="85">
        <f>+IF(ISERR(T26/S26*100),"N/A",T26/S26*100)</f>
        <v>99.410002370275038</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34.5" customHeight="1">
      <c r="B30" s="94" t="s">
        <v>117</v>
      </c>
      <c r="C30" s="96"/>
      <c r="D30" s="96"/>
      <c r="E30" s="96"/>
      <c r="F30" s="96"/>
      <c r="G30" s="96"/>
      <c r="H30" s="96"/>
      <c r="I30" s="96"/>
      <c r="J30" s="96"/>
      <c r="K30" s="96"/>
      <c r="L30" s="96"/>
      <c r="M30" s="96"/>
      <c r="N30" s="96"/>
      <c r="O30" s="96"/>
      <c r="P30" s="96"/>
      <c r="Q30" s="96"/>
      <c r="R30" s="96"/>
      <c r="S30" s="96"/>
      <c r="T30" s="96"/>
      <c r="U30" s="95"/>
    </row>
    <row r="31" spans="1:22" ht="34.5" customHeight="1">
      <c r="B31" s="94" t="s">
        <v>118</v>
      </c>
      <c r="C31" s="96"/>
      <c r="D31" s="96"/>
      <c r="E31" s="96"/>
      <c r="F31" s="96"/>
      <c r="G31" s="96"/>
      <c r="H31" s="96"/>
      <c r="I31" s="96"/>
      <c r="J31" s="96"/>
      <c r="K31" s="96"/>
      <c r="L31" s="96"/>
      <c r="M31" s="96"/>
      <c r="N31" s="96"/>
      <c r="O31" s="96"/>
      <c r="P31" s="96"/>
      <c r="Q31" s="96"/>
      <c r="R31" s="96"/>
      <c r="S31" s="96"/>
      <c r="T31" s="96"/>
      <c r="U31" s="95"/>
    </row>
    <row r="32" spans="1:22" ht="51.75" customHeight="1">
      <c r="B32" s="94" t="s">
        <v>119</v>
      </c>
      <c r="C32" s="96"/>
      <c r="D32" s="96"/>
      <c r="E32" s="96"/>
      <c r="F32" s="96"/>
      <c r="G32" s="96"/>
      <c r="H32" s="96"/>
      <c r="I32" s="96"/>
      <c r="J32" s="96"/>
      <c r="K32" s="96"/>
      <c r="L32" s="96"/>
      <c r="M32" s="96"/>
      <c r="N32" s="96"/>
      <c r="O32" s="96"/>
      <c r="P32" s="96"/>
      <c r="Q32" s="96"/>
      <c r="R32" s="96"/>
      <c r="S32" s="96"/>
      <c r="T32" s="96"/>
      <c r="U32" s="95"/>
    </row>
    <row r="33" spans="2:21" ht="34.5" customHeight="1">
      <c r="B33" s="94" t="s">
        <v>120</v>
      </c>
      <c r="C33" s="96"/>
      <c r="D33" s="96"/>
      <c r="E33" s="96"/>
      <c r="F33" s="96"/>
      <c r="G33" s="96"/>
      <c r="H33" s="96"/>
      <c r="I33" s="96"/>
      <c r="J33" s="96"/>
      <c r="K33" s="96"/>
      <c r="L33" s="96"/>
      <c r="M33" s="96"/>
      <c r="N33" s="96"/>
      <c r="O33" s="96"/>
      <c r="P33" s="96"/>
      <c r="Q33" s="96"/>
      <c r="R33" s="96"/>
      <c r="S33" s="96"/>
      <c r="T33" s="96"/>
      <c r="U33" s="95"/>
    </row>
    <row r="34" spans="2:21" ht="34.5" customHeight="1">
      <c r="B34" s="94" t="s">
        <v>121</v>
      </c>
      <c r="C34" s="96"/>
      <c r="D34" s="96"/>
      <c r="E34" s="96"/>
      <c r="F34" s="96"/>
      <c r="G34" s="96"/>
      <c r="H34" s="96"/>
      <c r="I34" s="96"/>
      <c r="J34" s="96"/>
      <c r="K34" s="96"/>
      <c r="L34" s="96"/>
      <c r="M34" s="96"/>
      <c r="N34" s="96"/>
      <c r="O34" s="96"/>
      <c r="P34" s="96"/>
      <c r="Q34" s="96"/>
      <c r="R34" s="96"/>
      <c r="S34" s="96"/>
      <c r="T34" s="96"/>
      <c r="U34" s="95"/>
    </row>
    <row r="35" spans="2:21" ht="47.1" customHeight="1">
      <c r="B35" s="94" t="s">
        <v>122</v>
      </c>
      <c r="C35" s="96"/>
      <c r="D35" s="96"/>
      <c r="E35" s="96"/>
      <c r="F35" s="96"/>
      <c r="G35" s="96"/>
      <c r="H35" s="96"/>
      <c r="I35" s="96"/>
      <c r="J35" s="96"/>
      <c r="K35" s="96"/>
      <c r="L35" s="96"/>
      <c r="M35" s="96"/>
      <c r="N35" s="96"/>
      <c r="O35" s="96"/>
      <c r="P35" s="96"/>
      <c r="Q35" s="96"/>
      <c r="R35" s="96"/>
      <c r="S35" s="96"/>
      <c r="T35" s="96"/>
      <c r="U35" s="95"/>
    </row>
    <row r="36" spans="2:21" ht="34.5" customHeight="1">
      <c r="B36" s="94" t="s">
        <v>123</v>
      </c>
      <c r="C36" s="96"/>
      <c r="D36" s="96"/>
      <c r="E36" s="96"/>
      <c r="F36" s="96"/>
      <c r="G36" s="96"/>
      <c r="H36" s="96"/>
      <c r="I36" s="96"/>
      <c r="J36" s="96"/>
      <c r="K36" s="96"/>
      <c r="L36" s="96"/>
      <c r="M36" s="96"/>
      <c r="N36" s="96"/>
      <c r="O36" s="96"/>
      <c r="P36" s="96"/>
      <c r="Q36" s="96"/>
      <c r="R36" s="96"/>
      <c r="S36" s="96"/>
      <c r="T36" s="96"/>
      <c r="U36" s="95"/>
    </row>
    <row r="37" spans="2:21" ht="34.5" customHeight="1">
      <c r="B37" s="94" t="s">
        <v>124</v>
      </c>
      <c r="C37" s="96"/>
      <c r="D37" s="96"/>
      <c r="E37" s="96"/>
      <c r="F37" s="96"/>
      <c r="G37" s="96"/>
      <c r="H37" s="96"/>
      <c r="I37" s="96"/>
      <c r="J37" s="96"/>
      <c r="K37" s="96"/>
      <c r="L37" s="96"/>
      <c r="M37" s="96"/>
      <c r="N37" s="96"/>
      <c r="O37" s="96"/>
      <c r="P37" s="96"/>
      <c r="Q37" s="96"/>
      <c r="R37" s="96"/>
      <c r="S37" s="96"/>
      <c r="T37" s="96"/>
      <c r="U37" s="95"/>
    </row>
    <row r="38" spans="2:21" ht="34.5" customHeight="1">
      <c r="B38" s="94" t="s">
        <v>125</v>
      </c>
      <c r="C38" s="96"/>
      <c r="D38" s="96"/>
      <c r="E38" s="96"/>
      <c r="F38" s="96"/>
      <c r="G38" s="96"/>
      <c r="H38" s="96"/>
      <c r="I38" s="96"/>
      <c r="J38" s="96"/>
      <c r="K38" s="96"/>
      <c r="L38" s="96"/>
      <c r="M38" s="96"/>
      <c r="N38" s="96"/>
      <c r="O38" s="96"/>
      <c r="P38" s="96"/>
      <c r="Q38" s="96"/>
      <c r="R38" s="96"/>
      <c r="S38" s="96"/>
      <c r="T38" s="96"/>
      <c r="U38" s="95"/>
    </row>
    <row r="39" spans="2:21" ht="45.2" customHeight="1" thickBot="1">
      <c r="B39" s="97" t="s">
        <v>126</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v>
      </c>
      <c r="D4" s="15" t="s">
        <v>128</v>
      </c>
      <c r="E4" s="15"/>
      <c r="F4" s="15"/>
      <c r="G4" s="15"/>
      <c r="H4" s="15"/>
      <c r="I4" s="16"/>
      <c r="J4" s="17" t="s">
        <v>6</v>
      </c>
      <c r="K4" s="18" t="s">
        <v>7</v>
      </c>
      <c r="L4" s="19" t="s">
        <v>8</v>
      </c>
      <c r="M4" s="19"/>
      <c r="N4" s="19"/>
      <c r="O4" s="19"/>
      <c r="P4" s="17" t="s">
        <v>9</v>
      </c>
      <c r="Q4" s="19" t="s">
        <v>129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130</v>
      </c>
      <c r="Q6" s="25"/>
      <c r="R6" s="29"/>
      <c r="S6" s="28" t="s">
        <v>20</v>
      </c>
      <c r="T6" s="25" t="s">
        <v>131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132</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IF(ISERR(T11/S11*100),"N/A",T11/S11*100)</f>
        <v>N/A</v>
      </c>
    </row>
    <row r="12" spans="1:34" ht="75" customHeight="1" thickTop="1">
      <c r="A12" s="56"/>
      <c r="B12" s="57" t="s">
        <v>46</v>
      </c>
      <c r="C12" s="58" t="s">
        <v>133</v>
      </c>
      <c r="D12" s="58"/>
      <c r="E12" s="58"/>
      <c r="F12" s="58"/>
      <c r="G12" s="58"/>
      <c r="H12" s="58"/>
      <c r="I12" s="58" t="s">
        <v>134</v>
      </c>
      <c r="J12" s="58"/>
      <c r="K12" s="58"/>
      <c r="L12" s="58" t="s">
        <v>135</v>
      </c>
      <c r="M12" s="58"/>
      <c r="N12" s="58"/>
      <c r="O12" s="58"/>
      <c r="P12" s="59" t="s">
        <v>40</v>
      </c>
      <c r="Q12" s="59" t="s">
        <v>41</v>
      </c>
      <c r="R12" s="59">
        <v>34.479999999999997</v>
      </c>
      <c r="S12" s="59" t="s">
        <v>42</v>
      </c>
      <c r="T12" s="59" t="s">
        <v>42</v>
      </c>
      <c r="U12" s="60" t="str">
        <f>IF(ISERR((S12-T12)*100/S12+100),"N/A",(S12-T12)*100/S12+100)</f>
        <v>N/A</v>
      </c>
    </row>
    <row r="13" spans="1:34" ht="75" customHeight="1" thickBot="1">
      <c r="A13" s="56"/>
      <c r="B13" s="61" t="s">
        <v>43</v>
      </c>
      <c r="C13" s="62" t="s">
        <v>43</v>
      </c>
      <c r="D13" s="62"/>
      <c r="E13" s="62"/>
      <c r="F13" s="62"/>
      <c r="G13" s="62"/>
      <c r="H13" s="62"/>
      <c r="I13" s="62" t="s">
        <v>136</v>
      </c>
      <c r="J13" s="62"/>
      <c r="K13" s="62"/>
      <c r="L13" s="62" t="s">
        <v>137</v>
      </c>
      <c r="M13" s="62"/>
      <c r="N13" s="62"/>
      <c r="O13" s="62"/>
      <c r="P13" s="63" t="s">
        <v>40</v>
      </c>
      <c r="Q13" s="63" t="s">
        <v>41</v>
      </c>
      <c r="R13" s="63">
        <v>52.82</v>
      </c>
      <c r="S13" s="63" t="s">
        <v>42</v>
      </c>
      <c r="T13" s="63" t="s">
        <v>42</v>
      </c>
      <c r="U13" s="65" t="str">
        <f t="shared" ref="U13:U21" si="0">IF(ISERR(T13/S13*100),"N/A",T13/S13*100)</f>
        <v>N/A</v>
      </c>
    </row>
    <row r="14" spans="1:34" ht="75" customHeight="1" thickTop="1">
      <c r="A14" s="56"/>
      <c r="B14" s="57" t="s">
        <v>51</v>
      </c>
      <c r="C14" s="58" t="s">
        <v>138</v>
      </c>
      <c r="D14" s="58"/>
      <c r="E14" s="58"/>
      <c r="F14" s="58"/>
      <c r="G14" s="58"/>
      <c r="H14" s="58"/>
      <c r="I14" s="58" t="s">
        <v>139</v>
      </c>
      <c r="J14" s="58"/>
      <c r="K14" s="58"/>
      <c r="L14" s="58" t="s">
        <v>140</v>
      </c>
      <c r="M14" s="58"/>
      <c r="N14" s="58"/>
      <c r="O14" s="58"/>
      <c r="P14" s="59" t="s">
        <v>40</v>
      </c>
      <c r="Q14" s="59" t="s">
        <v>106</v>
      </c>
      <c r="R14" s="59">
        <v>2</v>
      </c>
      <c r="S14" s="59" t="s">
        <v>42</v>
      </c>
      <c r="T14" s="59" t="s">
        <v>42</v>
      </c>
      <c r="U14" s="60" t="str">
        <f t="shared" si="0"/>
        <v>N/A</v>
      </c>
    </row>
    <row r="15" spans="1:34" ht="75" customHeight="1">
      <c r="A15" s="56"/>
      <c r="B15" s="61" t="s">
        <v>43</v>
      </c>
      <c r="C15" s="62" t="s">
        <v>141</v>
      </c>
      <c r="D15" s="62"/>
      <c r="E15" s="62"/>
      <c r="F15" s="62"/>
      <c r="G15" s="62"/>
      <c r="H15" s="62"/>
      <c r="I15" s="62" t="s">
        <v>142</v>
      </c>
      <c r="J15" s="62"/>
      <c r="K15" s="62"/>
      <c r="L15" s="62" t="s">
        <v>143</v>
      </c>
      <c r="M15" s="62"/>
      <c r="N15" s="62"/>
      <c r="O15" s="62"/>
      <c r="P15" s="63" t="s">
        <v>40</v>
      </c>
      <c r="Q15" s="63" t="s">
        <v>106</v>
      </c>
      <c r="R15" s="63">
        <v>7.14</v>
      </c>
      <c r="S15" s="63" t="s">
        <v>42</v>
      </c>
      <c r="T15" s="63" t="s">
        <v>42</v>
      </c>
      <c r="U15" s="65" t="str">
        <f t="shared" si="0"/>
        <v>N/A</v>
      </c>
    </row>
    <row r="16" spans="1:34" ht="75" customHeight="1">
      <c r="A16" s="56"/>
      <c r="B16" s="61" t="s">
        <v>43</v>
      </c>
      <c r="C16" s="62" t="s">
        <v>144</v>
      </c>
      <c r="D16" s="62"/>
      <c r="E16" s="62"/>
      <c r="F16" s="62"/>
      <c r="G16" s="62"/>
      <c r="H16" s="62"/>
      <c r="I16" s="62" t="s">
        <v>145</v>
      </c>
      <c r="J16" s="62"/>
      <c r="K16" s="62"/>
      <c r="L16" s="62" t="s">
        <v>146</v>
      </c>
      <c r="M16" s="62"/>
      <c r="N16" s="62"/>
      <c r="O16" s="62"/>
      <c r="P16" s="63" t="s">
        <v>40</v>
      </c>
      <c r="Q16" s="63" t="s">
        <v>106</v>
      </c>
      <c r="R16" s="63">
        <v>5</v>
      </c>
      <c r="S16" s="63" t="s">
        <v>42</v>
      </c>
      <c r="T16" s="63" t="s">
        <v>42</v>
      </c>
      <c r="U16" s="65" t="str">
        <f t="shared" si="0"/>
        <v>N/A</v>
      </c>
    </row>
    <row r="17" spans="1:22" ht="75" customHeight="1" thickBot="1">
      <c r="A17" s="56"/>
      <c r="B17" s="61" t="s">
        <v>43</v>
      </c>
      <c r="C17" s="62" t="s">
        <v>147</v>
      </c>
      <c r="D17" s="62"/>
      <c r="E17" s="62"/>
      <c r="F17" s="62"/>
      <c r="G17" s="62"/>
      <c r="H17" s="62"/>
      <c r="I17" s="62" t="s">
        <v>148</v>
      </c>
      <c r="J17" s="62"/>
      <c r="K17" s="62"/>
      <c r="L17" s="62" t="s">
        <v>149</v>
      </c>
      <c r="M17" s="62"/>
      <c r="N17" s="62"/>
      <c r="O17" s="62"/>
      <c r="P17" s="63" t="s">
        <v>40</v>
      </c>
      <c r="Q17" s="63" t="s">
        <v>106</v>
      </c>
      <c r="R17" s="63">
        <v>21.79</v>
      </c>
      <c r="S17" s="63" t="s">
        <v>42</v>
      </c>
      <c r="T17" s="63" t="s">
        <v>42</v>
      </c>
      <c r="U17" s="65" t="str">
        <f t="shared" si="0"/>
        <v>N/A</v>
      </c>
    </row>
    <row r="18" spans="1:22" ht="75" customHeight="1" thickTop="1">
      <c r="A18" s="56"/>
      <c r="B18" s="57" t="s">
        <v>56</v>
      </c>
      <c r="C18" s="58" t="s">
        <v>150</v>
      </c>
      <c r="D18" s="58"/>
      <c r="E18" s="58"/>
      <c r="F18" s="58"/>
      <c r="G18" s="58"/>
      <c r="H18" s="58"/>
      <c r="I18" s="58" t="s">
        <v>151</v>
      </c>
      <c r="J18" s="58"/>
      <c r="K18" s="58"/>
      <c r="L18" s="58" t="s">
        <v>152</v>
      </c>
      <c r="M18" s="58"/>
      <c r="N18" s="58"/>
      <c r="O18" s="58"/>
      <c r="P18" s="59" t="s">
        <v>40</v>
      </c>
      <c r="Q18" s="59" t="s">
        <v>106</v>
      </c>
      <c r="R18" s="59">
        <v>20</v>
      </c>
      <c r="S18" s="59" t="s">
        <v>42</v>
      </c>
      <c r="T18" s="59" t="s">
        <v>42</v>
      </c>
      <c r="U18" s="60" t="str">
        <f t="shared" si="0"/>
        <v>N/A</v>
      </c>
    </row>
    <row r="19" spans="1:22" ht="75" customHeight="1">
      <c r="A19" s="56"/>
      <c r="B19" s="61" t="s">
        <v>43</v>
      </c>
      <c r="C19" s="62" t="s">
        <v>153</v>
      </c>
      <c r="D19" s="62"/>
      <c r="E19" s="62"/>
      <c r="F19" s="62"/>
      <c r="G19" s="62"/>
      <c r="H19" s="62"/>
      <c r="I19" s="62" t="s">
        <v>154</v>
      </c>
      <c r="J19" s="62"/>
      <c r="K19" s="62"/>
      <c r="L19" s="62" t="s">
        <v>155</v>
      </c>
      <c r="M19" s="62"/>
      <c r="N19" s="62"/>
      <c r="O19" s="62"/>
      <c r="P19" s="63" t="s">
        <v>40</v>
      </c>
      <c r="Q19" s="63" t="s">
        <v>106</v>
      </c>
      <c r="R19" s="63">
        <v>3.33</v>
      </c>
      <c r="S19" s="63" t="s">
        <v>42</v>
      </c>
      <c r="T19" s="63" t="s">
        <v>42</v>
      </c>
      <c r="U19" s="65" t="str">
        <f t="shared" si="0"/>
        <v>N/A</v>
      </c>
    </row>
    <row r="20" spans="1:22" ht="75" customHeight="1">
      <c r="A20" s="56"/>
      <c r="B20" s="61" t="s">
        <v>43</v>
      </c>
      <c r="C20" s="62" t="s">
        <v>156</v>
      </c>
      <c r="D20" s="62"/>
      <c r="E20" s="62"/>
      <c r="F20" s="62"/>
      <c r="G20" s="62"/>
      <c r="H20" s="62"/>
      <c r="I20" s="62" t="s">
        <v>157</v>
      </c>
      <c r="J20" s="62"/>
      <c r="K20" s="62"/>
      <c r="L20" s="62" t="s">
        <v>158</v>
      </c>
      <c r="M20" s="62"/>
      <c r="N20" s="62"/>
      <c r="O20" s="62"/>
      <c r="P20" s="63" t="s">
        <v>40</v>
      </c>
      <c r="Q20" s="63" t="s">
        <v>106</v>
      </c>
      <c r="R20" s="63">
        <v>13.43</v>
      </c>
      <c r="S20" s="63" t="s">
        <v>42</v>
      </c>
      <c r="T20" s="63" t="s">
        <v>42</v>
      </c>
      <c r="U20" s="65" t="str">
        <f t="shared" si="0"/>
        <v>N/A</v>
      </c>
    </row>
    <row r="21" spans="1:22" ht="75" customHeight="1" thickBot="1">
      <c r="A21" s="56"/>
      <c r="B21" s="61" t="s">
        <v>43</v>
      </c>
      <c r="C21" s="62" t="s">
        <v>159</v>
      </c>
      <c r="D21" s="62"/>
      <c r="E21" s="62"/>
      <c r="F21" s="62"/>
      <c r="G21" s="62"/>
      <c r="H21" s="62"/>
      <c r="I21" s="62" t="s">
        <v>160</v>
      </c>
      <c r="J21" s="62"/>
      <c r="K21" s="62"/>
      <c r="L21" s="62" t="s">
        <v>161</v>
      </c>
      <c r="M21" s="62"/>
      <c r="N21" s="62"/>
      <c r="O21" s="62"/>
      <c r="P21" s="63" t="s">
        <v>40</v>
      </c>
      <c r="Q21" s="63" t="s">
        <v>116</v>
      </c>
      <c r="R21" s="63">
        <v>1.96</v>
      </c>
      <c r="S21" s="63" t="s">
        <v>42</v>
      </c>
      <c r="T21" s="63">
        <v>0</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421.694179</f>
        <v>421.69417900000002</v>
      </c>
      <c r="S25" s="84">
        <f>320.563212</f>
        <v>320.56321200000002</v>
      </c>
      <c r="T25" s="84">
        <f>320.985402</f>
        <v>320.98540200000002</v>
      </c>
      <c r="U25" s="85">
        <f>+IF(ISERR(T25/S25*100),"N/A",T25/S25*100)</f>
        <v>100.13170257353174</v>
      </c>
    </row>
    <row r="26" spans="1:22" ht="13.5" customHeight="1" thickBot="1">
      <c r="B26" s="86" t="s">
        <v>69</v>
      </c>
      <c r="C26" s="87"/>
      <c r="D26" s="87"/>
      <c r="E26" s="88"/>
      <c r="F26" s="88"/>
      <c r="G26" s="88"/>
      <c r="H26" s="89"/>
      <c r="I26" s="89"/>
      <c r="J26" s="89"/>
      <c r="K26" s="89"/>
      <c r="L26" s="89"/>
      <c r="M26" s="89"/>
      <c r="N26" s="89"/>
      <c r="O26" s="89"/>
      <c r="P26" s="90"/>
      <c r="Q26" s="90"/>
      <c r="R26" s="84">
        <f>422.116369</f>
        <v>422.11636900000002</v>
      </c>
      <c r="S26" s="84">
        <f>320.985402</f>
        <v>320.98540200000002</v>
      </c>
      <c r="T26" s="84">
        <f>320.985402</f>
        <v>320.98540200000002</v>
      </c>
      <c r="U26" s="85">
        <f>+IF(ISERR(T26/S26*100),"N/A",T26/S26*100)</f>
        <v>100</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20.45" customHeight="1">
      <c r="B30" s="94" t="s">
        <v>162</v>
      </c>
      <c r="C30" s="96"/>
      <c r="D30" s="96"/>
      <c r="E30" s="96"/>
      <c r="F30" s="96"/>
      <c r="G30" s="96"/>
      <c r="H30" s="96"/>
      <c r="I30" s="96"/>
      <c r="J30" s="96"/>
      <c r="K30" s="96"/>
      <c r="L30" s="96"/>
      <c r="M30" s="96"/>
      <c r="N30" s="96"/>
      <c r="O30" s="96"/>
      <c r="P30" s="96"/>
      <c r="Q30" s="96"/>
      <c r="R30" s="96"/>
      <c r="S30" s="96"/>
      <c r="T30" s="96"/>
      <c r="U30" s="95"/>
    </row>
    <row r="31" spans="1:22" ht="24.95" customHeight="1">
      <c r="B31" s="94" t="s">
        <v>163</v>
      </c>
      <c r="C31" s="96"/>
      <c r="D31" s="96"/>
      <c r="E31" s="96"/>
      <c r="F31" s="96"/>
      <c r="G31" s="96"/>
      <c r="H31" s="96"/>
      <c r="I31" s="96"/>
      <c r="J31" s="96"/>
      <c r="K31" s="96"/>
      <c r="L31" s="96"/>
      <c r="M31" s="96"/>
      <c r="N31" s="96"/>
      <c r="O31" s="96"/>
      <c r="P31" s="96"/>
      <c r="Q31" s="96"/>
      <c r="R31" s="96"/>
      <c r="S31" s="96"/>
      <c r="T31" s="96"/>
      <c r="U31" s="95"/>
    </row>
    <row r="32" spans="1:22" ht="34.5" customHeight="1">
      <c r="B32" s="94" t="s">
        <v>164</v>
      </c>
      <c r="C32" s="96"/>
      <c r="D32" s="96"/>
      <c r="E32" s="96"/>
      <c r="F32" s="96"/>
      <c r="G32" s="96"/>
      <c r="H32" s="96"/>
      <c r="I32" s="96"/>
      <c r="J32" s="96"/>
      <c r="K32" s="96"/>
      <c r="L32" s="96"/>
      <c r="M32" s="96"/>
      <c r="N32" s="96"/>
      <c r="O32" s="96"/>
      <c r="P32" s="96"/>
      <c r="Q32" s="96"/>
      <c r="R32" s="96"/>
      <c r="S32" s="96"/>
      <c r="T32" s="96"/>
      <c r="U32" s="95"/>
    </row>
    <row r="33" spans="2:21" ht="34.5" customHeight="1">
      <c r="B33" s="94" t="s">
        <v>165</v>
      </c>
      <c r="C33" s="96"/>
      <c r="D33" s="96"/>
      <c r="E33" s="96"/>
      <c r="F33" s="96"/>
      <c r="G33" s="96"/>
      <c r="H33" s="96"/>
      <c r="I33" s="96"/>
      <c r="J33" s="96"/>
      <c r="K33" s="96"/>
      <c r="L33" s="96"/>
      <c r="M33" s="96"/>
      <c r="N33" s="96"/>
      <c r="O33" s="96"/>
      <c r="P33" s="96"/>
      <c r="Q33" s="96"/>
      <c r="R33" s="96"/>
      <c r="S33" s="96"/>
      <c r="T33" s="96"/>
      <c r="U33" s="95"/>
    </row>
    <row r="34" spans="2:21" ht="34.5" customHeight="1">
      <c r="B34" s="94" t="s">
        <v>166</v>
      </c>
      <c r="C34" s="96"/>
      <c r="D34" s="96"/>
      <c r="E34" s="96"/>
      <c r="F34" s="96"/>
      <c r="G34" s="96"/>
      <c r="H34" s="96"/>
      <c r="I34" s="96"/>
      <c r="J34" s="96"/>
      <c r="K34" s="96"/>
      <c r="L34" s="96"/>
      <c r="M34" s="96"/>
      <c r="N34" s="96"/>
      <c r="O34" s="96"/>
      <c r="P34" s="96"/>
      <c r="Q34" s="96"/>
      <c r="R34" s="96"/>
      <c r="S34" s="96"/>
      <c r="T34" s="96"/>
      <c r="U34" s="95"/>
    </row>
    <row r="35" spans="2:21" ht="17.25" customHeight="1">
      <c r="B35" s="94" t="s">
        <v>167</v>
      </c>
      <c r="C35" s="96"/>
      <c r="D35" s="96"/>
      <c r="E35" s="96"/>
      <c r="F35" s="96"/>
      <c r="G35" s="96"/>
      <c r="H35" s="96"/>
      <c r="I35" s="96"/>
      <c r="J35" s="96"/>
      <c r="K35" s="96"/>
      <c r="L35" s="96"/>
      <c r="M35" s="96"/>
      <c r="N35" s="96"/>
      <c r="O35" s="96"/>
      <c r="P35" s="96"/>
      <c r="Q35" s="96"/>
      <c r="R35" s="96"/>
      <c r="S35" s="96"/>
      <c r="T35" s="96"/>
      <c r="U35" s="95"/>
    </row>
    <row r="36" spans="2:21" ht="34.5" customHeight="1">
      <c r="B36" s="94" t="s">
        <v>168</v>
      </c>
      <c r="C36" s="96"/>
      <c r="D36" s="96"/>
      <c r="E36" s="96"/>
      <c r="F36" s="96"/>
      <c r="G36" s="96"/>
      <c r="H36" s="96"/>
      <c r="I36" s="96"/>
      <c r="J36" s="96"/>
      <c r="K36" s="96"/>
      <c r="L36" s="96"/>
      <c r="M36" s="96"/>
      <c r="N36" s="96"/>
      <c r="O36" s="96"/>
      <c r="P36" s="96"/>
      <c r="Q36" s="96"/>
      <c r="R36" s="96"/>
      <c r="S36" s="96"/>
      <c r="T36" s="96"/>
      <c r="U36" s="95"/>
    </row>
    <row r="37" spans="2:21" ht="34.5" customHeight="1">
      <c r="B37" s="94" t="s">
        <v>169</v>
      </c>
      <c r="C37" s="96"/>
      <c r="D37" s="96"/>
      <c r="E37" s="96"/>
      <c r="F37" s="96"/>
      <c r="G37" s="96"/>
      <c r="H37" s="96"/>
      <c r="I37" s="96"/>
      <c r="J37" s="96"/>
      <c r="K37" s="96"/>
      <c r="L37" s="96"/>
      <c r="M37" s="96"/>
      <c r="N37" s="96"/>
      <c r="O37" s="96"/>
      <c r="P37" s="96"/>
      <c r="Q37" s="96"/>
      <c r="R37" s="96"/>
      <c r="S37" s="96"/>
      <c r="T37" s="96"/>
      <c r="U37" s="95"/>
    </row>
    <row r="38" spans="2:21" ht="33.75" customHeight="1">
      <c r="B38" s="94" t="s">
        <v>170</v>
      </c>
      <c r="C38" s="96"/>
      <c r="D38" s="96"/>
      <c r="E38" s="96"/>
      <c r="F38" s="96"/>
      <c r="G38" s="96"/>
      <c r="H38" s="96"/>
      <c r="I38" s="96"/>
      <c r="J38" s="96"/>
      <c r="K38" s="96"/>
      <c r="L38" s="96"/>
      <c r="M38" s="96"/>
      <c r="N38" s="96"/>
      <c r="O38" s="96"/>
      <c r="P38" s="96"/>
      <c r="Q38" s="96"/>
      <c r="R38" s="96"/>
      <c r="S38" s="96"/>
      <c r="T38" s="96"/>
      <c r="U38" s="95"/>
    </row>
    <row r="39" spans="2:21" ht="29.85" customHeight="1" thickBot="1">
      <c r="B39" s="97" t="s">
        <v>171</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3" sqref="I13:K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172</v>
      </c>
      <c r="D4" s="15" t="s">
        <v>173</v>
      </c>
      <c r="E4" s="15"/>
      <c r="F4" s="15"/>
      <c r="G4" s="15"/>
      <c r="H4" s="15"/>
      <c r="I4" s="16"/>
      <c r="J4" s="17" t="s">
        <v>6</v>
      </c>
      <c r="K4" s="18" t="s">
        <v>7</v>
      </c>
      <c r="L4" s="19" t="s">
        <v>8</v>
      </c>
      <c r="M4" s="19"/>
      <c r="N4" s="19"/>
      <c r="O4" s="19"/>
      <c r="P4" s="17" t="s">
        <v>9</v>
      </c>
      <c r="Q4" s="19" t="s">
        <v>174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175</v>
      </c>
      <c r="L6" s="25"/>
      <c r="M6" s="25"/>
      <c r="N6" s="27"/>
      <c r="O6" s="28" t="s">
        <v>18</v>
      </c>
      <c r="P6" s="25" t="s">
        <v>176</v>
      </c>
      <c r="Q6" s="25"/>
      <c r="R6" s="29"/>
      <c r="S6" s="28" t="s">
        <v>20</v>
      </c>
      <c r="T6" s="25" t="s">
        <v>177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178</v>
      </c>
      <c r="D11" s="58"/>
      <c r="E11" s="58"/>
      <c r="F11" s="58"/>
      <c r="G11" s="58"/>
      <c r="H11" s="58"/>
      <c r="I11" s="58" t="s">
        <v>179</v>
      </c>
      <c r="J11" s="58"/>
      <c r="K11" s="58"/>
      <c r="L11" s="58" t="s">
        <v>180</v>
      </c>
      <c r="M11" s="58"/>
      <c r="N11" s="58"/>
      <c r="O11" s="58"/>
      <c r="P11" s="59" t="s">
        <v>40</v>
      </c>
      <c r="Q11" s="59" t="s">
        <v>41</v>
      </c>
      <c r="R11" s="59">
        <v>104.05</v>
      </c>
      <c r="S11" s="59" t="s">
        <v>42</v>
      </c>
      <c r="T11" s="59" t="s">
        <v>42</v>
      </c>
      <c r="U11" s="60" t="str">
        <f t="shared" ref="U11:U32" si="0">IF(ISERR(T11/S11*100),"N/A",T11/S11*100)</f>
        <v>N/A</v>
      </c>
    </row>
    <row r="12" spans="1:34" ht="75" customHeight="1">
      <c r="A12" s="56"/>
      <c r="B12" s="61" t="s">
        <v>43</v>
      </c>
      <c r="C12" s="62" t="s">
        <v>43</v>
      </c>
      <c r="D12" s="62"/>
      <c r="E12" s="62"/>
      <c r="F12" s="62"/>
      <c r="G12" s="62"/>
      <c r="H12" s="62"/>
      <c r="I12" s="62" t="s">
        <v>181</v>
      </c>
      <c r="J12" s="62"/>
      <c r="K12" s="62"/>
      <c r="L12" s="62" t="s">
        <v>182</v>
      </c>
      <c r="M12" s="62"/>
      <c r="N12" s="62"/>
      <c r="O12" s="62"/>
      <c r="P12" s="63" t="s">
        <v>183</v>
      </c>
      <c r="Q12" s="63" t="s">
        <v>41</v>
      </c>
      <c r="R12" s="63">
        <v>52.92</v>
      </c>
      <c r="S12" s="63" t="s">
        <v>42</v>
      </c>
      <c r="T12" s="63" t="s">
        <v>42</v>
      </c>
      <c r="U12" s="65" t="str">
        <f t="shared" si="0"/>
        <v>N/A</v>
      </c>
    </row>
    <row r="13" spans="1:34" ht="75" customHeight="1" thickBot="1">
      <c r="A13" s="56"/>
      <c r="B13" s="61" t="s">
        <v>43</v>
      </c>
      <c r="C13" s="62" t="s">
        <v>43</v>
      </c>
      <c r="D13" s="62"/>
      <c r="E13" s="62"/>
      <c r="F13" s="62"/>
      <c r="G13" s="62"/>
      <c r="H13" s="62"/>
      <c r="I13" s="62" t="s">
        <v>1294</v>
      </c>
      <c r="J13" s="62"/>
      <c r="K13" s="62"/>
      <c r="L13" s="62" t="s">
        <v>44</v>
      </c>
      <c r="M13" s="62"/>
      <c r="N13" s="62"/>
      <c r="O13" s="62"/>
      <c r="P13" s="63" t="s">
        <v>45</v>
      </c>
      <c r="Q13" s="63" t="s">
        <v>41</v>
      </c>
      <c r="R13" s="64">
        <v>62944</v>
      </c>
      <c r="S13" s="64" t="s">
        <v>42</v>
      </c>
      <c r="T13" s="64" t="s">
        <v>42</v>
      </c>
      <c r="U13" s="65" t="str">
        <f t="shared" si="0"/>
        <v>N/A</v>
      </c>
    </row>
    <row r="14" spans="1:34" ht="75" customHeight="1" thickTop="1">
      <c r="A14" s="56"/>
      <c r="B14" s="57" t="s">
        <v>46</v>
      </c>
      <c r="C14" s="58" t="s">
        <v>184</v>
      </c>
      <c r="D14" s="58"/>
      <c r="E14" s="58"/>
      <c r="F14" s="58"/>
      <c r="G14" s="58"/>
      <c r="H14" s="58"/>
      <c r="I14" s="58" t="s">
        <v>185</v>
      </c>
      <c r="J14" s="58"/>
      <c r="K14" s="58"/>
      <c r="L14" s="58" t="s">
        <v>186</v>
      </c>
      <c r="M14" s="58"/>
      <c r="N14" s="58"/>
      <c r="O14" s="58"/>
      <c r="P14" s="59" t="s">
        <v>40</v>
      </c>
      <c r="Q14" s="59" t="s">
        <v>41</v>
      </c>
      <c r="R14" s="59">
        <v>69.11</v>
      </c>
      <c r="S14" s="59" t="s">
        <v>42</v>
      </c>
      <c r="T14" s="59" t="s">
        <v>42</v>
      </c>
      <c r="U14" s="60" t="str">
        <f t="shared" si="0"/>
        <v>N/A</v>
      </c>
    </row>
    <row r="15" spans="1:34" ht="75" customHeight="1">
      <c r="A15" s="56"/>
      <c r="B15" s="61" t="s">
        <v>43</v>
      </c>
      <c r="C15" s="62" t="s">
        <v>43</v>
      </c>
      <c r="D15" s="62"/>
      <c r="E15" s="62"/>
      <c r="F15" s="62"/>
      <c r="G15" s="62"/>
      <c r="H15" s="62"/>
      <c r="I15" s="62" t="s">
        <v>187</v>
      </c>
      <c r="J15" s="62"/>
      <c r="K15" s="62"/>
      <c r="L15" s="62" t="s">
        <v>188</v>
      </c>
      <c r="M15" s="62"/>
      <c r="N15" s="62"/>
      <c r="O15" s="62"/>
      <c r="P15" s="63" t="s">
        <v>40</v>
      </c>
      <c r="Q15" s="63" t="s">
        <v>41</v>
      </c>
      <c r="R15" s="63">
        <v>39.18</v>
      </c>
      <c r="S15" s="63" t="s">
        <v>42</v>
      </c>
      <c r="T15" s="63" t="s">
        <v>42</v>
      </c>
      <c r="U15" s="65" t="str">
        <f t="shared" si="0"/>
        <v>N/A</v>
      </c>
    </row>
    <row r="16" spans="1:34" ht="75" customHeight="1" thickBot="1">
      <c r="A16" s="56"/>
      <c r="B16" s="61" t="s">
        <v>43</v>
      </c>
      <c r="C16" s="62" t="s">
        <v>43</v>
      </c>
      <c r="D16" s="62"/>
      <c r="E16" s="62"/>
      <c r="F16" s="62"/>
      <c r="G16" s="62"/>
      <c r="H16" s="62"/>
      <c r="I16" s="62" t="s">
        <v>189</v>
      </c>
      <c r="J16" s="62"/>
      <c r="K16" s="62"/>
      <c r="L16" s="62" t="s">
        <v>190</v>
      </c>
      <c r="M16" s="62"/>
      <c r="N16" s="62"/>
      <c r="O16" s="62"/>
      <c r="P16" s="63" t="s">
        <v>40</v>
      </c>
      <c r="Q16" s="63" t="s">
        <v>41</v>
      </c>
      <c r="R16" s="63">
        <v>100</v>
      </c>
      <c r="S16" s="63" t="s">
        <v>42</v>
      </c>
      <c r="T16" s="63" t="s">
        <v>42</v>
      </c>
      <c r="U16" s="65" t="str">
        <f t="shared" si="0"/>
        <v>N/A</v>
      </c>
    </row>
    <row r="17" spans="1:21" ht="75" customHeight="1" thickTop="1">
      <c r="A17" s="56"/>
      <c r="B17" s="57" t="s">
        <v>51</v>
      </c>
      <c r="C17" s="58" t="s">
        <v>191</v>
      </c>
      <c r="D17" s="58"/>
      <c r="E17" s="58"/>
      <c r="F17" s="58"/>
      <c r="G17" s="58"/>
      <c r="H17" s="58"/>
      <c r="I17" s="58" t="s">
        <v>192</v>
      </c>
      <c r="J17" s="58"/>
      <c r="K17" s="58"/>
      <c r="L17" s="58" t="s">
        <v>193</v>
      </c>
      <c r="M17" s="58"/>
      <c r="N17" s="58"/>
      <c r="O17" s="58"/>
      <c r="P17" s="59" t="s">
        <v>40</v>
      </c>
      <c r="Q17" s="59" t="s">
        <v>93</v>
      </c>
      <c r="R17" s="59">
        <v>70.180000000000007</v>
      </c>
      <c r="S17" s="59">
        <v>5.85</v>
      </c>
      <c r="T17" s="59">
        <v>10.53</v>
      </c>
      <c r="U17" s="60">
        <f t="shared" si="0"/>
        <v>180</v>
      </c>
    </row>
    <row r="18" spans="1:21" ht="75" customHeight="1">
      <c r="A18" s="56"/>
      <c r="B18" s="61" t="s">
        <v>43</v>
      </c>
      <c r="C18" s="62" t="s">
        <v>194</v>
      </c>
      <c r="D18" s="62"/>
      <c r="E18" s="62"/>
      <c r="F18" s="62"/>
      <c r="G18" s="62"/>
      <c r="H18" s="62"/>
      <c r="I18" s="62" t="s">
        <v>195</v>
      </c>
      <c r="J18" s="62"/>
      <c r="K18" s="62"/>
      <c r="L18" s="62" t="s">
        <v>196</v>
      </c>
      <c r="M18" s="62"/>
      <c r="N18" s="62"/>
      <c r="O18" s="62"/>
      <c r="P18" s="63" t="s">
        <v>40</v>
      </c>
      <c r="Q18" s="63" t="s">
        <v>93</v>
      </c>
      <c r="R18" s="63">
        <v>60.71</v>
      </c>
      <c r="S18" s="63">
        <v>4.76</v>
      </c>
      <c r="T18" s="63">
        <v>7.14</v>
      </c>
      <c r="U18" s="65">
        <f t="shared" si="0"/>
        <v>150</v>
      </c>
    </row>
    <row r="19" spans="1:21" ht="75" customHeight="1">
      <c r="A19" s="56"/>
      <c r="B19" s="61" t="s">
        <v>43</v>
      </c>
      <c r="C19" s="62" t="s">
        <v>197</v>
      </c>
      <c r="D19" s="62"/>
      <c r="E19" s="62"/>
      <c r="F19" s="62"/>
      <c r="G19" s="62"/>
      <c r="H19" s="62"/>
      <c r="I19" s="62" t="s">
        <v>198</v>
      </c>
      <c r="J19" s="62"/>
      <c r="K19" s="62"/>
      <c r="L19" s="62" t="s">
        <v>199</v>
      </c>
      <c r="M19" s="62"/>
      <c r="N19" s="62"/>
      <c r="O19" s="62"/>
      <c r="P19" s="63" t="s">
        <v>40</v>
      </c>
      <c r="Q19" s="63" t="s">
        <v>55</v>
      </c>
      <c r="R19" s="63">
        <v>100</v>
      </c>
      <c r="S19" s="63">
        <v>87.5</v>
      </c>
      <c r="T19" s="63">
        <v>50</v>
      </c>
      <c r="U19" s="65">
        <f t="shared" si="0"/>
        <v>57.142857142857139</v>
      </c>
    </row>
    <row r="20" spans="1:21" ht="75" customHeight="1">
      <c r="A20" s="56"/>
      <c r="B20" s="61" t="s">
        <v>43</v>
      </c>
      <c r="C20" s="62" t="s">
        <v>200</v>
      </c>
      <c r="D20" s="62"/>
      <c r="E20" s="62"/>
      <c r="F20" s="62"/>
      <c r="G20" s="62"/>
      <c r="H20" s="62"/>
      <c r="I20" s="62" t="s">
        <v>201</v>
      </c>
      <c r="J20" s="62"/>
      <c r="K20" s="62"/>
      <c r="L20" s="62" t="s">
        <v>202</v>
      </c>
      <c r="M20" s="62"/>
      <c r="N20" s="62"/>
      <c r="O20" s="62"/>
      <c r="P20" s="63" t="s">
        <v>40</v>
      </c>
      <c r="Q20" s="63" t="s">
        <v>55</v>
      </c>
      <c r="R20" s="63">
        <v>100</v>
      </c>
      <c r="S20" s="63">
        <v>75</v>
      </c>
      <c r="T20" s="63">
        <v>75.17</v>
      </c>
      <c r="U20" s="65">
        <f t="shared" si="0"/>
        <v>100.22666666666666</v>
      </c>
    </row>
    <row r="21" spans="1:21" ht="75" customHeight="1">
      <c r="A21" s="56"/>
      <c r="B21" s="61" t="s">
        <v>43</v>
      </c>
      <c r="C21" s="62" t="s">
        <v>203</v>
      </c>
      <c r="D21" s="62"/>
      <c r="E21" s="62"/>
      <c r="F21" s="62"/>
      <c r="G21" s="62"/>
      <c r="H21" s="62"/>
      <c r="I21" s="62" t="s">
        <v>204</v>
      </c>
      <c r="J21" s="62"/>
      <c r="K21" s="62"/>
      <c r="L21" s="62" t="s">
        <v>199</v>
      </c>
      <c r="M21" s="62"/>
      <c r="N21" s="62"/>
      <c r="O21" s="62"/>
      <c r="P21" s="63" t="s">
        <v>40</v>
      </c>
      <c r="Q21" s="63" t="s">
        <v>55</v>
      </c>
      <c r="R21" s="63">
        <v>100</v>
      </c>
      <c r="S21" s="63">
        <v>85</v>
      </c>
      <c r="T21" s="63">
        <v>85</v>
      </c>
      <c r="U21" s="65">
        <f t="shared" si="0"/>
        <v>100</v>
      </c>
    </row>
    <row r="22" spans="1:21" ht="75" customHeight="1" thickBot="1">
      <c r="A22" s="56"/>
      <c r="B22" s="61" t="s">
        <v>43</v>
      </c>
      <c r="C22" s="62" t="s">
        <v>205</v>
      </c>
      <c r="D22" s="62"/>
      <c r="E22" s="62"/>
      <c r="F22" s="62"/>
      <c r="G22" s="62"/>
      <c r="H22" s="62"/>
      <c r="I22" s="62" t="s">
        <v>206</v>
      </c>
      <c r="J22" s="62"/>
      <c r="K22" s="62"/>
      <c r="L22" s="62" t="s">
        <v>207</v>
      </c>
      <c r="M22" s="62"/>
      <c r="N22" s="62"/>
      <c r="O22" s="62"/>
      <c r="P22" s="63" t="s">
        <v>40</v>
      </c>
      <c r="Q22" s="63" t="s">
        <v>55</v>
      </c>
      <c r="R22" s="63">
        <v>100</v>
      </c>
      <c r="S22" s="63">
        <v>75</v>
      </c>
      <c r="T22" s="63">
        <v>27.78</v>
      </c>
      <c r="U22" s="65">
        <f t="shared" si="0"/>
        <v>37.04</v>
      </c>
    </row>
    <row r="23" spans="1:21" ht="75" customHeight="1" thickTop="1">
      <c r="A23" s="56"/>
      <c r="B23" s="57" t="s">
        <v>56</v>
      </c>
      <c r="C23" s="58" t="s">
        <v>208</v>
      </c>
      <c r="D23" s="58"/>
      <c r="E23" s="58"/>
      <c r="F23" s="58"/>
      <c r="G23" s="58"/>
      <c r="H23" s="58"/>
      <c r="I23" s="58" t="s">
        <v>209</v>
      </c>
      <c r="J23" s="58"/>
      <c r="K23" s="58"/>
      <c r="L23" s="58" t="s">
        <v>210</v>
      </c>
      <c r="M23" s="58"/>
      <c r="N23" s="58"/>
      <c r="O23" s="58"/>
      <c r="P23" s="59" t="s">
        <v>211</v>
      </c>
      <c r="Q23" s="59" t="s">
        <v>212</v>
      </c>
      <c r="R23" s="59">
        <v>0.4</v>
      </c>
      <c r="S23" s="59">
        <v>0.15</v>
      </c>
      <c r="T23" s="59">
        <v>0.22</v>
      </c>
      <c r="U23" s="60">
        <f t="shared" si="0"/>
        <v>146.66666666666669</v>
      </c>
    </row>
    <row r="24" spans="1:21" ht="75" customHeight="1">
      <c r="A24" s="56"/>
      <c r="B24" s="61" t="s">
        <v>43</v>
      </c>
      <c r="C24" s="62" t="s">
        <v>213</v>
      </c>
      <c r="D24" s="62"/>
      <c r="E24" s="62"/>
      <c r="F24" s="62"/>
      <c r="G24" s="62"/>
      <c r="H24" s="62"/>
      <c r="I24" s="62" t="s">
        <v>214</v>
      </c>
      <c r="J24" s="62"/>
      <c r="K24" s="62"/>
      <c r="L24" s="62" t="s">
        <v>215</v>
      </c>
      <c r="M24" s="62"/>
      <c r="N24" s="62"/>
      <c r="O24" s="62"/>
      <c r="P24" s="63" t="s">
        <v>40</v>
      </c>
      <c r="Q24" s="63" t="s">
        <v>116</v>
      </c>
      <c r="R24" s="63">
        <v>65.349999999999994</v>
      </c>
      <c r="S24" s="63">
        <v>3.15</v>
      </c>
      <c r="T24" s="63">
        <v>4.72</v>
      </c>
      <c r="U24" s="65">
        <f t="shared" si="0"/>
        <v>149.84126984126985</v>
      </c>
    </row>
    <row r="25" spans="1:21" ht="75" customHeight="1">
      <c r="A25" s="56"/>
      <c r="B25" s="61" t="s">
        <v>43</v>
      </c>
      <c r="C25" s="62" t="s">
        <v>216</v>
      </c>
      <c r="D25" s="62"/>
      <c r="E25" s="62"/>
      <c r="F25" s="62"/>
      <c r="G25" s="62"/>
      <c r="H25" s="62"/>
      <c r="I25" s="62" t="s">
        <v>217</v>
      </c>
      <c r="J25" s="62"/>
      <c r="K25" s="62"/>
      <c r="L25" s="62" t="s">
        <v>218</v>
      </c>
      <c r="M25" s="62"/>
      <c r="N25" s="62"/>
      <c r="O25" s="62"/>
      <c r="P25" s="63" t="s">
        <v>211</v>
      </c>
      <c r="Q25" s="63" t="s">
        <v>212</v>
      </c>
      <c r="R25" s="63">
        <v>1.38</v>
      </c>
      <c r="S25" s="63">
        <v>0.28999999999999998</v>
      </c>
      <c r="T25" s="63">
        <v>0.47</v>
      </c>
      <c r="U25" s="65">
        <f t="shared" si="0"/>
        <v>162.06896551724139</v>
      </c>
    </row>
    <row r="26" spans="1:21" ht="75" customHeight="1">
      <c r="A26" s="56"/>
      <c r="B26" s="61" t="s">
        <v>43</v>
      </c>
      <c r="C26" s="62" t="s">
        <v>219</v>
      </c>
      <c r="D26" s="62"/>
      <c r="E26" s="62"/>
      <c r="F26" s="62"/>
      <c r="G26" s="62"/>
      <c r="H26" s="62"/>
      <c r="I26" s="62" t="s">
        <v>220</v>
      </c>
      <c r="J26" s="62"/>
      <c r="K26" s="62"/>
      <c r="L26" s="62" t="s">
        <v>221</v>
      </c>
      <c r="M26" s="62"/>
      <c r="N26" s="62"/>
      <c r="O26" s="62"/>
      <c r="P26" s="63" t="s">
        <v>211</v>
      </c>
      <c r="Q26" s="63" t="s">
        <v>222</v>
      </c>
      <c r="R26" s="63">
        <v>1.86</v>
      </c>
      <c r="S26" s="63">
        <v>0.93</v>
      </c>
      <c r="T26" s="63">
        <v>1.71</v>
      </c>
      <c r="U26" s="65">
        <f t="shared" si="0"/>
        <v>183.87096774193549</v>
      </c>
    </row>
    <row r="27" spans="1:21" ht="75" customHeight="1">
      <c r="A27" s="56"/>
      <c r="B27" s="61" t="s">
        <v>43</v>
      </c>
      <c r="C27" s="62" t="s">
        <v>223</v>
      </c>
      <c r="D27" s="62"/>
      <c r="E27" s="62"/>
      <c r="F27" s="62"/>
      <c r="G27" s="62"/>
      <c r="H27" s="62"/>
      <c r="I27" s="62" t="s">
        <v>224</v>
      </c>
      <c r="J27" s="62"/>
      <c r="K27" s="62"/>
      <c r="L27" s="62" t="s">
        <v>225</v>
      </c>
      <c r="M27" s="62"/>
      <c r="N27" s="62"/>
      <c r="O27" s="62"/>
      <c r="P27" s="63" t="s">
        <v>211</v>
      </c>
      <c r="Q27" s="63" t="s">
        <v>212</v>
      </c>
      <c r="R27" s="63">
        <v>1.27</v>
      </c>
      <c r="S27" s="63">
        <v>0.48</v>
      </c>
      <c r="T27" s="63">
        <v>0.43</v>
      </c>
      <c r="U27" s="65">
        <f t="shared" si="0"/>
        <v>89.583333333333343</v>
      </c>
    </row>
    <row r="28" spans="1:21" ht="75" customHeight="1">
      <c r="A28" s="56"/>
      <c r="B28" s="61" t="s">
        <v>43</v>
      </c>
      <c r="C28" s="62" t="s">
        <v>226</v>
      </c>
      <c r="D28" s="62"/>
      <c r="E28" s="62"/>
      <c r="F28" s="62"/>
      <c r="G28" s="62"/>
      <c r="H28" s="62"/>
      <c r="I28" s="62" t="s">
        <v>227</v>
      </c>
      <c r="J28" s="62"/>
      <c r="K28" s="62"/>
      <c r="L28" s="62" t="s">
        <v>228</v>
      </c>
      <c r="M28" s="62"/>
      <c r="N28" s="62"/>
      <c r="O28" s="62"/>
      <c r="P28" s="63" t="s">
        <v>40</v>
      </c>
      <c r="Q28" s="63" t="s">
        <v>60</v>
      </c>
      <c r="R28" s="63">
        <v>89</v>
      </c>
      <c r="S28" s="63">
        <v>68</v>
      </c>
      <c r="T28" s="63">
        <v>73.19</v>
      </c>
      <c r="U28" s="65">
        <f t="shared" si="0"/>
        <v>107.63235294117646</v>
      </c>
    </row>
    <row r="29" spans="1:21" ht="75" customHeight="1">
      <c r="A29" s="56"/>
      <c r="B29" s="61" t="s">
        <v>43</v>
      </c>
      <c r="C29" s="62" t="s">
        <v>229</v>
      </c>
      <c r="D29" s="62"/>
      <c r="E29" s="62"/>
      <c r="F29" s="62"/>
      <c r="G29" s="62"/>
      <c r="H29" s="62"/>
      <c r="I29" s="62" t="s">
        <v>230</v>
      </c>
      <c r="J29" s="62"/>
      <c r="K29" s="62"/>
      <c r="L29" s="62" t="s">
        <v>231</v>
      </c>
      <c r="M29" s="62"/>
      <c r="N29" s="62"/>
      <c r="O29" s="62"/>
      <c r="P29" s="63" t="s">
        <v>40</v>
      </c>
      <c r="Q29" s="63" t="s">
        <v>60</v>
      </c>
      <c r="R29" s="63">
        <v>100</v>
      </c>
      <c r="S29" s="63">
        <v>100</v>
      </c>
      <c r="T29" s="63">
        <v>87.65</v>
      </c>
      <c r="U29" s="65">
        <f t="shared" si="0"/>
        <v>87.65</v>
      </c>
    </row>
    <row r="30" spans="1:21" ht="75" customHeight="1">
      <c r="A30" s="56"/>
      <c r="B30" s="61" t="s">
        <v>43</v>
      </c>
      <c r="C30" s="62" t="s">
        <v>232</v>
      </c>
      <c r="D30" s="62"/>
      <c r="E30" s="62"/>
      <c r="F30" s="62"/>
      <c r="G30" s="62"/>
      <c r="H30" s="62"/>
      <c r="I30" s="62" t="s">
        <v>233</v>
      </c>
      <c r="J30" s="62"/>
      <c r="K30" s="62"/>
      <c r="L30" s="62" t="s">
        <v>234</v>
      </c>
      <c r="M30" s="62"/>
      <c r="N30" s="62"/>
      <c r="O30" s="62"/>
      <c r="P30" s="63" t="s">
        <v>40</v>
      </c>
      <c r="Q30" s="63" t="s">
        <v>60</v>
      </c>
      <c r="R30" s="63">
        <v>100</v>
      </c>
      <c r="S30" s="63">
        <v>0</v>
      </c>
      <c r="T30" s="63">
        <v>0</v>
      </c>
      <c r="U30" s="65" t="str">
        <f t="shared" si="0"/>
        <v>N/A</v>
      </c>
    </row>
    <row r="31" spans="1:21" ht="75" customHeight="1">
      <c r="A31" s="56"/>
      <c r="B31" s="61" t="s">
        <v>43</v>
      </c>
      <c r="C31" s="62" t="s">
        <v>235</v>
      </c>
      <c r="D31" s="62"/>
      <c r="E31" s="62"/>
      <c r="F31" s="62"/>
      <c r="G31" s="62"/>
      <c r="H31" s="62"/>
      <c r="I31" s="62" t="s">
        <v>236</v>
      </c>
      <c r="J31" s="62"/>
      <c r="K31" s="62"/>
      <c r="L31" s="62" t="s">
        <v>237</v>
      </c>
      <c r="M31" s="62"/>
      <c r="N31" s="62"/>
      <c r="O31" s="62"/>
      <c r="P31" s="63" t="s">
        <v>40</v>
      </c>
      <c r="Q31" s="63" t="s">
        <v>60</v>
      </c>
      <c r="R31" s="63">
        <v>100</v>
      </c>
      <c r="S31" s="63">
        <v>85</v>
      </c>
      <c r="T31" s="63">
        <v>85</v>
      </c>
      <c r="U31" s="65">
        <f t="shared" si="0"/>
        <v>100</v>
      </c>
    </row>
    <row r="32" spans="1:21" ht="75" customHeight="1" thickBot="1">
      <c r="A32" s="56"/>
      <c r="B32" s="61" t="s">
        <v>43</v>
      </c>
      <c r="C32" s="62" t="s">
        <v>238</v>
      </c>
      <c r="D32" s="62"/>
      <c r="E32" s="62"/>
      <c r="F32" s="62"/>
      <c r="G32" s="62"/>
      <c r="H32" s="62"/>
      <c r="I32" s="62" t="s">
        <v>239</v>
      </c>
      <c r="J32" s="62"/>
      <c r="K32" s="62"/>
      <c r="L32" s="62" t="s">
        <v>240</v>
      </c>
      <c r="M32" s="62"/>
      <c r="N32" s="62"/>
      <c r="O32" s="62"/>
      <c r="P32" s="63" t="s">
        <v>40</v>
      </c>
      <c r="Q32" s="63" t="s">
        <v>60</v>
      </c>
      <c r="R32" s="63">
        <v>100</v>
      </c>
      <c r="S32" s="63">
        <v>75</v>
      </c>
      <c r="T32" s="63">
        <v>81.540000000000006</v>
      </c>
      <c r="U32" s="65">
        <f t="shared" si="0"/>
        <v>108.72000000000001</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1587.409511</f>
        <v>1587.4095110000001</v>
      </c>
      <c r="S36" s="84">
        <f>1124.475635</f>
        <v>1124.475635</v>
      </c>
      <c r="T36" s="84">
        <f>1152.49248158</f>
        <v>1152.49248158</v>
      </c>
      <c r="U36" s="85">
        <f>+IF(ISERR(T36/S36*100),"N/A",T36/S36*100)</f>
        <v>102.49154767857642</v>
      </c>
    </row>
    <row r="37" spans="2:22" ht="13.5" customHeight="1" thickBot="1">
      <c r="B37" s="86" t="s">
        <v>69</v>
      </c>
      <c r="C37" s="87"/>
      <c r="D37" s="87"/>
      <c r="E37" s="88"/>
      <c r="F37" s="88"/>
      <c r="G37" s="88"/>
      <c r="H37" s="89"/>
      <c r="I37" s="89"/>
      <c r="J37" s="89"/>
      <c r="K37" s="89"/>
      <c r="L37" s="89"/>
      <c r="M37" s="89"/>
      <c r="N37" s="89"/>
      <c r="O37" s="89"/>
      <c r="P37" s="90"/>
      <c r="Q37" s="90"/>
      <c r="R37" s="84">
        <f>1604.05607675</f>
        <v>1604.0560767500001</v>
      </c>
      <c r="S37" s="84">
        <f>1159.49210371</f>
        <v>1159.49210371</v>
      </c>
      <c r="T37" s="84">
        <f>1152.49248158</f>
        <v>1152.49248158</v>
      </c>
      <c r="U37" s="85">
        <f>+IF(ISERR(T37/S37*100),"N/A",T37/S37*100)</f>
        <v>99.396319982895648</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241</v>
      </c>
      <c r="C40" s="96"/>
      <c r="D40" s="96"/>
      <c r="E40" s="96"/>
      <c r="F40" s="96"/>
      <c r="G40" s="96"/>
      <c r="H40" s="96"/>
      <c r="I40" s="96"/>
      <c r="J40" s="96"/>
      <c r="K40" s="96"/>
      <c r="L40" s="96"/>
      <c r="M40" s="96"/>
      <c r="N40" s="96"/>
      <c r="O40" s="96"/>
      <c r="P40" s="96"/>
      <c r="Q40" s="96"/>
      <c r="R40" s="96"/>
      <c r="S40" s="96"/>
      <c r="T40" s="96"/>
      <c r="U40" s="95"/>
    </row>
    <row r="41" spans="2:22" ht="18.75" customHeight="1">
      <c r="B41" s="94" t="s">
        <v>242</v>
      </c>
      <c r="C41" s="96"/>
      <c r="D41" s="96"/>
      <c r="E41" s="96"/>
      <c r="F41" s="96"/>
      <c r="G41" s="96"/>
      <c r="H41" s="96"/>
      <c r="I41" s="96"/>
      <c r="J41" s="96"/>
      <c r="K41" s="96"/>
      <c r="L41" s="96"/>
      <c r="M41" s="96"/>
      <c r="N41" s="96"/>
      <c r="O41" s="96"/>
      <c r="P41" s="96"/>
      <c r="Q41" s="96"/>
      <c r="R41" s="96"/>
      <c r="S41" s="96"/>
      <c r="T41" s="96"/>
      <c r="U41" s="95"/>
    </row>
    <row r="42" spans="2:22" ht="34.5" customHeight="1">
      <c r="B42" s="94" t="s">
        <v>73</v>
      </c>
      <c r="C42" s="96"/>
      <c r="D42" s="96"/>
      <c r="E42" s="96"/>
      <c r="F42" s="96"/>
      <c r="G42" s="96"/>
      <c r="H42" s="96"/>
      <c r="I42" s="96"/>
      <c r="J42" s="96"/>
      <c r="K42" s="96"/>
      <c r="L42" s="96"/>
      <c r="M42" s="96"/>
      <c r="N42" s="96"/>
      <c r="O42" s="96"/>
      <c r="P42" s="96"/>
      <c r="Q42" s="96"/>
      <c r="R42" s="96"/>
      <c r="S42" s="96"/>
      <c r="T42" s="96"/>
      <c r="U42" s="95"/>
    </row>
    <row r="43" spans="2:22" ht="34.5" customHeight="1">
      <c r="B43" s="94" t="s">
        <v>243</v>
      </c>
      <c r="C43" s="96"/>
      <c r="D43" s="96"/>
      <c r="E43" s="96"/>
      <c r="F43" s="96"/>
      <c r="G43" s="96"/>
      <c r="H43" s="96"/>
      <c r="I43" s="96"/>
      <c r="J43" s="96"/>
      <c r="K43" s="96"/>
      <c r="L43" s="96"/>
      <c r="M43" s="96"/>
      <c r="N43" s="96"/>
      <c r="O43" s="96"/>
      <c r="P43" s="96"/>
      <c r="Q43" s="96"/>
      <c r="R43" s="96"/>
      <c r="S43" s="96"/>
      <c r="T43" s="96"/>
      <c r="U43" s="95"/>
    </row>
    <row r="44" spans="2:22" ht="24.95" customHeight="1">
      <c r="B44" s="94" t="s">
        <v>244</v>
      </c>
      <c r="C44" s="96"/>
      <c r="D44" s="96"/>
      <c r="E44" s="96"/>
      <c r="F44" s="96"/>
      <c r="G44" s="96"/>
      <c r="H44" s="96"/>
      <c r="I44" s="96"/>
      <c r="J44" s="96"/>
      <c r="K44" s="96"/>
      <c r="L44" s="96"/>
      <c r="M44" s="96"/>
      <c r="N44" s="96"/>
      <c r="O44" s="96"/>
      <c r="P44" s="96"/>
      <c r="Q44" s="96"/>
      <c r="R44" s="96"/>
      <c r="S44" s="96"/>
      <c r="T44" s="96"/>
      <c r="U44" s="95"/>
    </row>
    <row r="45" spans="2:22" ht="34.5" customHeight="1">
      <c r="B45" s="94" t="s">
        <v>245</v>
      </c>
      <c r="C45" s="96"/>
      <c r="D45" s="96"/>
      <c r="E45" s="96"/>
      <c r="F45" s="96"/>
      <c r="G45" s="96"/>
      <c r="H45" s="96"/>
      <c r="I45" s="96"/>
      <c r="J45" s="96"/>
      <c r="K45" s="96"/>
      <c r="L45" s="96"/>
      <c r="M45" s="96"/>
      <c r="N45" s="96"/>
      <c r="O45" s="96"/>
      <c r="P45" s="96"/>
      <c r="Q45" s="96"/>
      <c r="R45" s="96"/>
      <c r="S45" s="96"/>
      <c r="T45" s="96"/>
      <c r="U45" s="95"/>
    </row>
    <row r="46" spans="2:22" ht="51.6" customHeight="1">
      <c r="B46" s="94" t="s">
        <v>246</v>
      </c>
      <c r="C46" s="96"/>
      <c r="D46" s="96"/>
      <c r="E46" s="96"/>
      <c r="F46" s="96"/>
      <c r="G46" s="96"/>
      <c r="H46" s="96"/>
      <c r="I46" s="96"/>
      <c r="J46" s="96"/>
      <c r="K46" s="96"/>
      <c r="L46" s="96"/>
      <c r="M46" s="96"/>
      <c r="N46" s="96"/>
      <c r="O46" s="96"/>
      <c r="P46" s="96"/>
      <c r="Q46" s="96"/>
      <c r="R46" s="96"/>
      <c r="S46" s="96"/>
      <c r="T46" s="96"/>
      <c r="U46" s="95"/>
    </row>
    <row r="47" spans="2:22" ht="56.1" customHeight="1">
      <c r="B47" s="94" t="s">
        <v>247</v>
      </c>
      <c r="C47" s="96"/>
      <c r="D47" s="96"/>
      <c r="E47" s="96"/>
      <c r="F47" s="96"/>
      <c r="G47" s="96"/>
      <c r="H47" s="96"/>
      <c r="I47" s="96"/>
      <c r="J47" s="96"/>
      <c r="K47" s="96"/>
      <c r="L47" s="96"/>
      <c r="M47" s="96"/>
      <c r="N47" s="96"/>
      <c r="O47" s="96"/>
      <c r="P47" s="96"/>
      <c r="Q47" s="96"/>
      <c r="R47" s="96"/>
      <c r="S47" s="96"/>
      <c r="T47" s="96"/>
      <c r="U47" s="95"/>
    </row>
    <row r="48" spans="2:22" ht="62.25" customHeight="1">
      <c r="B48" s="94" t="s">
        <v>248</v>
      </c>
      <c r="C48" s="96"/>
      <c r="D48" s="96"/>
      <c r="E48" s="96"/>
      <c r="F48" s="96"/>
      <c r="G48" s="96"/>
      <c r="H48" s="96"/>
      <c r="I48" s="96"/>
      <c r="J48" s="96"/>
      <c r="K48" s="96"/>
      <c r="L48" s="96"/>
      <c r="M48" s="96"/>
      <c r="N48" s="96"/>
      <c r="O48" s="96"/>
      <c r="P48" s="96"/>
      <c r="Q48" s="96"/>
      <c r="R48" s="96"/>
      <c r="S48" s="96"/>
      <c r="T48" s="96"/>
      <c r="U48" s="95"/>
    </row>
    <row r="49" spans="2:21" ht="36.6" customHeight="1">
      <c r="B49" s="94" t="s">
        <v>249</v>
      </c>
      <c r="C49" s="96"/>
      <c r="D49" s="96"/>
      <c r="E49" s="96"/>
      <c r="F49" s="96"/>
      <c r="G49" s="96"/>
      <c r="H49" s="96"/>
      <c r="I49" s="96"/>
      <c r="J49" s="96"/>
      <c r="K49" s="96"/>
      <c r="L49" s="96"/>
      <c r="M49" s="96"/>
      <c r="N49" s="96"/>
      <c r="O49" s="96"/>
      <c r="P49" s="96"/>
      <c r="Q49" s="96"/>
      <c r="R49" s="96"/>
      <c r="S49" s="96"/>
      <c r="T49" s="96"/>
      <c r="U49" s="95"/>
    </row>
    <row r="50" spans="2:21" ht="16.7" customHeight="1">
      <c r="B50" s="94" t="s">
        <v>250</v>
      </c>
      <c r="C50" s="96"/>
      <c r="D50" s="96"/>
      <c r="E50" s="96"/>
      <c r="F50" s="96"/>
      <c r="G50" s="96"/>
      <c r="H50" s="96"/>
      <c r="I50" s="96"/>
      <c r="J50" s="96"/>
      <c r="K50" s="96"/>
      <c r="L50" s="96"/>
      <c r="M50" s="96"/>
      <c r="N50" s="96"/>
      <c r="O50" s="96"/>
      <c r="P50" s="96"/>
      <c r="Q50" s="96"/>
      <c r="R50" s="96"/>
      <c r="S50" s="96"/>
      <c r="T50" s="96"/>
      <c r="U50" s="95"/>
    </row>
    <row r="51" spans="2:21" ht="42.2" customHeight="1">
      <c r="B51" s="94" t="s">
        <v>251</v>
      </c>
      <c r="C51" s="96"/>
      <c r="D51" s="96"/>
      <c r="E51" s="96"/>
      <c r="F51" s="96"/>
      <c r="G51" s="96"/>
      <c r="H51" s="96"/>
      <c r="I51" s="96"/>
      <c r="J51" s="96"/>
      <c r="K51" s="96"/>
      <c r="L51" s="96"/>
      <c r="M51" s="96"/>
      <c r="N51" s="96"/>
      <c r="O51" s="96"/>
      <c r="P51" s="96"/>
      <c r="Q51" s="96"/>
      <c r="R51" s="96"/>
      <c r="S51" s="96"/>
      <c r="T51" s="96"/>
      <c r="U51" s="95"/>
    </row>
    <row r="52" spans="2:21" ht="39" customHeight="1">
      <c r="B52" s="94" t="s">
        <v>252</v>
      </c>
      <c r="C52" s="96"/>
      <c r="D52" s="96"/>
      <c r="E52" s="96"/>
      <c r="F52" s="96"/>
      <c r="G52" s="96"/>
      <c r="H52" s="96"/>
      <c r="I52" s="96"/>
      <c r="J52" s="96"/>
      <c r="K52" s="96"/>
      <c r="L52" s="96"/>
      <c r="M52" s="96"/>
      <c r="N52" s="96"/>
      <c r="O52" s="96"/>
      <c r="P52" s="96"/>
      <c r="Q52" s="96"/>
      <c r="R52" s="96"/>
      <c r="S52" s="96"/>
      <c r="T52" s="96"/>
      <c r="U52" s="95"/>
    </row>
    <row r="53" spans="2:21" ht="47.85" customHeight="1">
      <c r="B53" s="94" t="s">
        <v>253</v>
      </c>
      <c r="C53" s="96"/>
      <c r="D53" s="96"/>
      <c r="E53" s="96"/>
      <c r="F53" s="96"/>
      <c r="G53" s="96"/>
      <c r="H53" s="96"/>
      <c r="I53" s="96"/>
      <c r="J53" s="96"/>
      <c r="K53" s="96"/>
      <c r="L53" s="96"/>
      <c r="M53" s="96"/>
      <c r="N53" s="96"/>
      <c r="O53" s="96"/>
      <c r="P53" s="96"/>
      <c r="Q53" s="96"/>
      <c r="R53" s="96"/>
      <c r="S53" s="96"/>
      <c r="T53" s="96"/>
      <c r="U53" s="95"/>
    </row>
    <row r="54" spans="2:21" ht="49.35" customHeight="1">
      <c r="B54" s="94" t="s">
        <v>254</v>
      </c>
      <c r="C54" s="96"/>
      <c r="D54" s="96"/>
      <c r="E54" s="96"/>
      <c r="F54" s="96"/>
      <c r="G54" s="96"/>
      <c r="H54" s="96"/>
      <c r="I54" s="96"/>
      <c r="J54" s="96"/>
      <c r="K54" s="96"/>
      <c r="L54" s="96"/>
      <c r="M54" s="96"/>
      <c r="N54" s="96"/>
      <c r="O54" s="96"/>
      <c r="P54" s="96"/>
      <c r="Q54" s="96"/>
      <c r="R54" s="96"/>
      <c r="S54" s="96"/>
      <c r="T54" s="96"/>
      <c r="U54" s="95"/>
    </row>
    <row r="55" spans="2:21" ht="90" customHeight="1">
      <c r="B55" s="94" t="s">
        <v>255</v>
      </c>
      <c r="C55" s="96"/>
      <c r="D55" s="96"/>
      <c r="E55" s="96"/>
      <c r="F55" s="96"/>
      <c r="G55" s="96"/>
      <c r="H55" s="96"/>
      <c r="I55" s="96"/>
      <c r="J55" s="96"/>
      <c r="K55" s="96"/>
      <c r="L55" s="96"/>
      <c r="M55" s="96"/>
      <c r="N55" s="96"/>
      <c r="O55" s="96"/>
      <c r="P55" s="96"/>
      <c r="Q55" s="96"/>
      <c r="R55" s="96"/>
      <c r="S55" s="96"/>
      <c r="T55" s="96"/>
      <c r="U55" s="95"/>
    </row>
    <row r="56" spans="2:21" ht="77.849999999999994" customHeight="1">
      <c r="B56" s="94" t="s">
        <v>256</v>
      </c>
      <c r="C56" s="96"/>
      <c r="D56" s="96"/>
      <c r="E56" s="96"/>
      <c r="F56" s="96"/>
      <c r="G56" s="96"/>
      <c r="H56" s="96"/>
      <c r="I56" s="96"/>
      <c r="J56" s="96"/>
      <c r="K56" s="96"/>
      <c r="L56" s="96"/>
      <c r="M56" s="96"/>
      <c r="N56" s="96"/>
      <c r="O56" s="96"/>
      <c r="P56" s="96"/>
      <c r="Q56" s="96"/>
      <c r="R56" s="96"/>
      <c r="S56" s="96"/>
      <c r="T56" s="96"/>
      <c r="U56" s="95"/>
    </row>
    <row r="57" spans="2:21" ht="46.35" customHeight="1">
      <c r="B57" s="94" t="s">
        <v>257</v>
      </c>
      <c r="C57" s="96"/>
      <c r="D57" s="96"/>
      <c r="E57" s="96"/>
      <c r="F57" s="96"/>
      <c r="G57" s="96"/>
      <c r="H57" s="96"/>
      <c r="I57" s="96"/>
      <c r="J57" s="96"/>
      <c r="K57" s="96"/>
      <c r="L57" s="96"/>
      <c r="M57" s="96"/>
      <c r="N57" s="96"/>
      <c r="O57" s="96"/>
      <c r="P57" s="96"/>
      <c r="Q57" s="96"/>
      <c r="R57" s="96"/>
      <c r="S57" s="96"/>
      <c r="T57" s="96"/>
      <c r="U57" s="95"/>
    </row>
    <row r="58" spans="2:21" ht="63.6" customHeight="1">
      <c r="B58" s="94" t="s">
        <v>258</v>
      </c>
      <c r="C58" s="96"/>
      <c r="D58" s="96"/>
      <c r="E58" s="96"/>
      <c r="F58" s="96"/>
      <c r="G58" s="96"/>
      <c r="H58" s="96"/>
      <c r="I58" s="96"/>
      <c r="J58" s="96"/>
      <c r="K58" s="96"/>
      <c r="L58" s="96"/>
      <c r="M58" s="96"/>
      <c r="N58" s="96"/>
      <c r="O58" s="96"/>
      <c r="P58" s="96"/>
      <c r="Q58" s="96"/>
      <c r="R58" s="96"/>
      <c r="S58" s="96"/>
      <c r="T58" s="96"/>
      <c r="U58" s="95"/>
    </row>
    <row r="59" spans="2:21" ht="31.5" customHeight="1">
      <c r="B59" s="94" t="s">
        <v>259</v>
      </c>
      <c r="C59" s="96"/>
      <c r="D59" s="96"/>
      <c r="E59" s="96"/>
      <c r="F59" s="96"/>
      <c r="G59" s="96"/>
      <c r="H59" s="96"/>
      <c r="I59" s="96"/>
      <c r="J59" s="96"/>
      <c r="K59" s="96"/>
      <c r="L59" s="96"/>
      <c r="M59" s="96"/>
      <c r="N59" s="96"/>
      <c r="O59" s="96"/>
      <c r="P59" s="96"/>
      <c r="Q59" s="96"/>
      <c r="R59" s="96"/>
      <c r="S59" s="96"/>
      <c r="T59" s="96"/>
      <c r="U59" s="95"/>
    </row>
    <row r="60" spans="2:21" ht="18" customHeight="1">
      <c r="B60" s="94" t="s">
        <v>260</v>
      </c>
      <c r="C60" s="96"/>
      <c r="D60" s="96"/>
      <c r="E60" s="96"/>
      <c r="F60" s="96"/>
      <c r="G60" s="96"/>
      <c r="H60" s="96"/>
      <c r="I60" s="96"/>
      <c r="J60" s="96"/>
      <c r="K60" s="96"/>
      <c r="L60" s="96"/>
      <c r="M60" s="96"/>
      <c r="N60" s="96"/>
      <c r="O60" s="96"/>
      <c r="P60" s="96"/>
      <c r="Q60" s="96"/>
      <c r="R60" s="96"/>
      <c r="S60" s="96"/>
      <c r="T60" s="96"/>
      <c r="U60" s="95"/>
    </row>
    <row r="61" spans="2:21" ht="23.45" customHeight="1" thickBot="1">
      <c r="B61" s="97" t="s">
        <v>261</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262</v>
      </c>
      <c r="D4" s="15" t="s">
        <v>263</v>
      </c>
      <c r="E4" s="15"/>
      <c r="F4" s="15"/>
      <c r="G4" s="15"/>
      <c r="H4" s="15"/>
      <c r="I4" s="16"/>
      <c r="J4" s="17" t="s">
        <v>6</v>
      </c>
      <c r="K4" s="18" t="s">
        <v>7</v>
      </c>
      <c r="L4" s="19" t="s">
        <v>8</v>
      </c>
      <c r="M4" s="19"/>
      <c r="N4" s="19"/>
      <c r="O4" s="19"/>
      <c r="P4" s="17" t="s">
        <v>9</v>
      </c>
      <c r="Q4" s="19" t="s">
        <v>264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266</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16" si="0">IF(ISERR(T11/S11*100),"N/A",T11/S11*100)</f>
        <v>N/A</v>
      </c>
    </row>
    <row r="12" spans="1:34" ht="75" customHeight="1" thickTop="1" thickBot="1">
      <c r="A12" s="56"/>
      <c r="B12" s="57" t="s">
        <v>46</v>
      </c>
      <c r="C12" s="58" t="s">
        <v>267</v>
      </c>
      <c r="D12" s="58"/>
      <c r="E12" s="58"/>
      <c r="F12" s="58"/>
      <c r="G12" s="58"/>
      <c r="H12" s="58"/>
      <c r="I12" s="58" t="s">
        <v>268</v>
      </c>
      <c r="J12" s="58"/>
      <c r="K12" s="58"/>
      <c r="L12" s="58" t="s">
        <v>269</v>
      </c>
      <c r="M12" s="58"/>
      <c r="N12" s="58"/>
      <c r="O12" s="58"/>
      <c r="P12" s="59" t="s">
        <v>40</v>
      </c>
      <c r="Q12" s="59" t="s">
        <v>41</v>
      </c>
      <c r="R12" s="59">
        <v>88.89</v>
      </c>
      <c r="S12" s="59" t="s">
        <v>42</v>
      </c>
      <c r="T12" s="59" t="s">
        <v>42</v>
      </c>
      <c r="U12" s="60" t="str">
        <f t="shared" si="0"/>
        <v>N/A</v>
      </c>
    </row>
    <row r="13" spans="1:34" ht="75" customHeight="1" thickTop="1">
      <c r="A13" s="56"/>
      <c r="B13" s="57" t="s">
        <v>51</v>
      </c>
      <c r="C13" s="58" t="s">
        <v>270</v>
      </c>
      <c r="D13" s="58"/>
      <c r="E13" s="58"/>
      <c r="F13" s="58"/>
      <c r="G13" s="58"/>
      <c r="H13" s="58"/>
      <c r="I13" s="58" t="s">
        <v>271</v>
      </c>
      <c r="J13" s="58"/>
      <c r="K13" s="58"/>
      <c r="L13" s="58" t="s">
        <v>272</v>
      </c>
      <c r="M13" s="58"/>
      <c r="N13" s="58"/>
      <c r="O13" s="58"/>
      <c r="P13" s="59" t="s">
        <v>40</v>
      </c>
      <c r="Q13" s="59" t="s">
        <v>41</v>
      </c>
      <c r="R13" s="59">
        <v>94.44</v>
      </c>
      <c r="S13" s="59" t="s">
        <v>42</v>
      </c>
      <c r="T13" s="59" t="s">
        <v>42</v>
      </c>
      <c r="U13" s="60" t="str">
        <f t="shared" si="0"/>
        <v>N/A</v>
      </c>
    </row>
    <row r="14" spans="1:34" ht="75" customHeight="1" thickBot="1">
      <c r="A14" s="56"/>
      <c r="B14" s="61" t="s">
        <v>43</v>
      </c>
      <c r="C14" s="62" t="s">
        <v>273</v>
      </c>
      <c r="D14" s="62"/>
      <c r="E14" s="62"/>
      <c r="F14" s="62"/>
      <c r="G14" s="62"/>
      <c r="H14" s="62"/>
      <c r="I14" s="62" t="s">
        <v>274</v>
      </c>
      <c r="J14" s="62"/>
      <c r="K14" s="62"/>
      <c r="L14" s="62" t="s">
        <v>275</v>
      </c>
      <c r="M14" s="62"/>
      <c r="N14" s="62"/>
      <c r="O14" s="62"/>
      <c r="P14" s="63" t="s">
        <v>40</v>
      </c>
      <c r="Q14" s="63" t="s">
        <v>276</v>
      </c>
      <c r="R14" s="63">
        <v>100</v>
      </c>
      <c r="S14" s="63">
        <v>45.33</v>
      </c>
      <c r="T14" s="63">
        <v>51.59</v>
      </c>
      <c r="U14" s="65">
        <f t="shared" si="0"/>
        <v>113.80983895874699</v>
      </c>
    </row>
    <row r="15" spans="1:34" ht="75" customHeight="1" thickTop="1">
      <c r="A15" s="56"/>
      <c r="B15" s="57" t="s">
        <v>56</v>
      </c>
      <c r="C15" s="58" t="s">
        <v>277</v>
      </c>
      <c r="D15" s="58"/>
      <c r="E15" s="58"/>
      <c r="F15" s="58"/>
      <c r="G15" s="58"/>
      <c r="H15" s="58"/>
      <c r="I15" s="58" t="s">
        <v>278</v>
      </c>
      <c r="J15" s="58"/>
      <c r="K15" s="58"/>
      <c r="L15" s="58" t="s">
        <v>279</v>
      </c>
      <c r="M15" s="58"/>
      <c r="N15" s="58"/>
      <c r="O15" s="58"/>
      <c r="P15" s="59" t="s">
        <v>280</v>
      </c>
      <c r="Q15" s="59" t="s">
        <v>60</v>
      </c>
      <c r="R15" s="100">
        <v>1</v>
      </c>
      <c r="S15" s="100">
        <v>1</v>
      </c>
      <c r="T15" s="100">
        <v>1</v>
      </c>
      <c r="U15" s="60">
        <f t="shared" si="0"/>
        <v>100</v>
      </c>
    </row>
    <row r="16" spans="1:34" ht="75" customHeight="1" thickBot="1">
      <c r="A16" s="56"/>
      <c r="B16" s="61" t="s">
        <v>43</v>
      </c>
      <c r="C16" s="62" t="s">
        <v>281</v>
      </c>
      <c r="D16" s="62"/>
      <c r="E16" s="62"/>
      <c r="F16" s="62"/>
      <c r="G16" s="62"/>
      <c r="H16" s="62"/>
      <c r="I16" s="62" t="s">
        <v>282</v>
      </c>
      <c r="J16" s="62"/>
      <c r="K16" s="62"/>
      <c r="L16" s="62" t="s">
        <v>283</v>
      </c>
      <c r="M16" s="62"/>
      <c r="N16" s="62"/>
      <c r="O16" s="62"/>
      <c r="P16" s="63" t="s">
        <v>40</v>
      </c>
      <c r="Q16" s="63" t="s">
        <v>116</v>
      </c>
      <c r="R16" s="63">
        <v>100</v>
      </c>
      <c r="S16" s="63">
        <v>100</v>
      </c>
      <c r="T16" s="63">
        <v>100</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f>3475.835196</f>
        <v>3475.835196</v>
      </c>
      <c r="S20" s="84">
        <f>2570.577911</f>
        <v>2570.5779109999999</v>
      </c>
      <c r="T20" s="84">
        <f>2585.1661719</f>
        <v>2585.1661718999999</v>
      </c>
      <c r="U20" s="85">
        <f>+IF(ISERR(T20/S20*100),"N/A",T20/S20*100)</f>
        <v>100.56750899622897</v>
      </c>
    </row>
    <row r="21" spans="2:22" ht="13.5" customHeight="1" thickBot="1">
      <c r="B21" s="86" t="s">
        <v>69</v>
      </c>
      <c r="C21" s="87"/>
      <c r="D21" s="87"/>
      <c r="E21" s="88"/>
      <c r="F21" s="88"/>
      <c r="G21" s="88"/>
      <c r="H21" s="89"/>
      <c r="I21" s="89"/>
      <c r="J21" s="89"/>
      <c r="K21" s="89"/>
      <c r="L21" s="89"/>
      <c r="M21" s="89"/>
      <c r="N21" s="89"/>
      <c r="O21" s="89"/>
      <c r="P21" s="90"/>
      <c r="Q21" s="90"/>
      <c r="R21" s="84">
        <f>3773.80319148</f>
        <v>3773.8031914799999</v>
      </c>
      <c r="S21" s="84">
        <f>2782.10919613999</f>
        <v>2782.1091961399902</v>
      </c>
      <c r="T21" s="84">
        <f>2585.1661719</f>
        <v>2585.1661718999999</v>
      </c>
      <c r="U21" s="85">
        <f>+IF(ISERR(T21/S21*100),"N/A",T21/S21*100)</f>
        <v>92.921089347850298</v>
      </c>
    </row>
    <row r="22" spans="2:22" ht="14.85"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73</v>
      </c>
      <c r="C24" s="96"/>
      <c r="D24" s="96"/>
      <c r="E24" s="96"/>
      <c r="F24" s="96"/>
      <c r="G24" s="96"/>
      <c r="H24" s="96"/>
      <c r="I24" s="96"/>
      <c r="J24" s="96"/>
      <c r="K24" s="96"/>
      <c r="L24" s="96"/>
      <c r="M24" s="96"/>
      <c r="N24" s="96"/>
      <c r="O24" s="96"/>
      <c r="P24" s="96"/>
      <c r="Q24" s="96"/>
      <c r="R24" s="96"/>
      <c r="S24" s="96"/>
      <c r="T24" s="96"/>
      <c r="U24" s="95"/>
    </row>
    <row r="25" spans="2:22" ht="34.5" customHeight="1">
      <c r="B25" s="94" t="s">
        <v>284</v>
      </c>
      <c r="C25" s="96"/>
      <c r="D25" s="96"/>
      <c r="E25" s="96"/>
      <c r="F25" s="96"/>
      <c r="G25" s="96"/>
      <c r="H25" s="96"/>
      <c r="I25" s="96"/>
      <c r="J25" s="96"/>
      <c r="K25" s="96"/>
      <c r="L25" s="96"/>
      <c r="M25" s="96"/>
      <c r="N25" s="96"/>
      <c r="O25" s="96"/>
      <c r="P25" s="96"/>
      <c r="Q25" s="96"/>
      <c r="R25" s="96"/>
      <c r="S25" s="96"/>
      <c r="T25" s="96"/>
      <c r="U25" s="95"/>
    </row>
    <row r="26" spans="2:22" ht="34.5" customHeight="1">
      <c r="B26" s="94" t="s">
        <v>285</v>
      </c>
      <c r="C26" s="96"/>
      <c r="D26" s="96"/>
      <c r="E26" s="96"/>
      <c r="F26" s="96"/>
      <c r="G26" s="96"/>
      <c r="H26" s="96"/>
      <c r="I26" s="96"/>
      <c r="J26" s="96"/>
      <c r="K26" s="96"/>
      <c r="L26" s="96"/>
      <c r="M26" s="96"/>
      <c r="N26" s="96"/>
      <c r="O26" s="96"/>
      <c r="P26" s="96"/>
      <c r="Q26" s="96"/>
      <c r="R26" s="96"/>
      <c r="S26" s="96"/>
      <c r="T26" s="96"/>
      <c r="U26" s="95"/>
    </row>
    <row r="27" spans="2:22" ht="36.6" customHeight="1">
      <c r="B27" s="94" t="s">
        <v>286</v>
      </c>
      <c r="C27" s="96"/>
      <c r="D27" s="96"/>
      <c r="E27" s="96"/>
      <c r="F27" s="96"/>
      <c r="G27" s="96"/>
      <c r="H27" s="96"/>
      <c r="I27" s="96"/>
      <c r="J27" s="96"/>
      <c r="K27" s="96"/>
      <c r="L27" s="96"/>
      <c r="M27" s="96"/>
      <c r="N27" s="96"/>
      <c r="O27" s="96"/>
      <c r="P27" s="96"/>
      <c r="Q27" s="96"/>
      <c r="R27" s="96"/>
      <c r="S27" s="96"/>
      <c r="T27" s="96"/>
      <c r="U27" s="95"/>
    </row>
    <row r="28" spans="2:22" ht="17.25" customHeight="1">
      <c r="B28" s="94" t="s">
        <v>287</v>
      </c>
      <c r="C28" s="96"/>
      <c r="D28" s="96"/>
      <c r="E28" s="96"/>
      <c r="F28" s="96"/>
      <c r="G28" s="96"/>
      <c r="H28" s="96"/>
      <c r="I28" s="96"/>
      <c r="J28" s="96"/>
      <c r="K28" s="96"/>
      <c r="L28" s="96"/>
      <c r="M28" s="96"/>
      <c r="N28" s="96"/>
      <c r="O28" s="96"/>
      <c r="P28" s="96"/>
      <c r="Q28" s="96"/>
      <c r="R28" s="96"/>
      <c r="S28" s="96"/>
      <c r="T28" s="96"/>
      <c r="U28" s="95"/>
    </row>
    <row r="29" spans="2:22" ht="18.75" customHeight="1" thickBot="1">
      <c r="B29" s="97" t="s">
        <v>288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289</v>
      </c>
      <c r="D4" s="15" t="s">
        <v>290</v>
      </c>
      <c r="E4" s="15"/>
      <c r="F4" s="15"/>
      <c r="G4" s="15"/>
      <c r="H4" s="15"/>
      <c r="I4" s="16"/>
      <c r="J4" s="17" t="s">
        <v>6</v>
      </c>
      <c r="K4" s="18" t="s">
        <v>7</v>
      </c>
      <c r="L4" s="19" t="s">
        <v>8</v>
      </c>
      <c r="M4" s="19"/>
      <c r="N4" s="19"/>
      <c r="O4" s="19"/>
      <c r="P4" s="17" t="s">
        <v>9</v>
      </c>
      <c r="Q4" s="19" t="s">
        <v>291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293</v>
      </c>
      <c r="D11" s="58"/>
      <c r="E11" s="58"/>
      <c r="F11" s="58"/>
      <c r="G11" s="58"/>
      <c r="H11" s="58"/>
      <c r="I11" s="58" t="s">
        <v>1295</v>
      </c>
      <c r="J11" s="58"/>
      <c r="K11" s="58"/>
      <c r="L11" s="58" t="s">
        <v>294</v>
      </c>
      <c r="M11" s="58"/>
      <c r="N11" s="58"/>
      <c r="O11" s="58"/>
      <c r="P11" s="59" t="s">
        <v>40</v>
      </c>
      <c r="Q11" s="59" t="s">
        <v>41</v>
      </c>
      <c r="R11" s="100">
        <v>3</v>
      </c>
      <c r="S11" s="100" t="s">
        <v>42</v>
      </c>
      <c r="T11" s="100" t="s">
        <v>42</v>
      </c>
      <c r="U11" s="60" t="str">
        <f t="shared" ref="U11:U29" si="0">IF(ISERR(T11/S11*100),"N/A",T11/S11*100)</f>
        <v>N/A</v>
      </c>
    </row>
    <row r="12" spans="1:34" ht="75" customHeight="1" thickBot="1">
      <c r="A12" s="56"/>
      <c r="B12" s="61" t="s">
        <v>43</v>
      </c>
      <c r="C12" s="62" t="s">
        <v>43</v>
      </c>
      <c r="D12" s="62"/>
      <c r="E12" s="62"/>
      <c r="F12" s="62"/>
      <c r="G12" s="62"/>
      <c r="H12" s="62"/>
      <c r="I12" s="62" t="s">
        <v>295</v>
      </c>
      <c r="J12" s="62"/>
      <c r="K12" s="62"/>
      <c r="L12" s="62" t="s">
        <v>296</v>
      </c>
      <c r="M12" s="62"/>
      <c r="N12" s="62"/>
      <c r="O12" s="62"/>
      <c r="P12" s="63" t="s">
        <v>297</v>
      </c>
      <c r="Q12" s="63" t="s">
        <v>298</v>
      </c>
      <c r="R12" s="63">
        <v>2.5</v>
      </c>
      <c r="S12" s="63" t="s">
        <v>42</v>
      </c>
      <c r="T12" s="63">
        <v>5.78</v>
      </c>
      <c r="U12" s="65" t="str">
        <f t="shared" si="0"/>
        <v>N/A</v>
      </c>
    </row>
    <row r="13" spans="1:34" ht="75" customHeight="1" thickTop="1" thickBot="1">
      <c r="A13" s="56"/>
      <c r="B13" s="57" t="s">
        <v>46</v>
      </c>
      <c r="C13" s="58" t="s">
        <v>299</v>
      </c>
      <c r="D13" s="58"/>
      <c r="E13" s="58"/>
      <c r="F13" s="58"/>
      <c r="G13" s="58"/>
      <c r="H13" s="58"/>
      <c r="I13" s="58" t="s">
        <v>300</v>
      </c>
      <c r="J13" s="58"/>
      <c r="K13" s="58"/>
      <c r="L13" s="58" t="s">
        <v>301</v>
      </c>
      <c r="M13" s="58"/>
      <c r="N13" s="58"/>
      <c r="O13" s="58"/>
      <c r="P13" s="59" t="s">
        <v>183</v>
      </c>
      <c r="Q13" s="59" t="s">
        <v>298</v>
      </c>
      <c r="R13" s="59">
        <v>2.27</v>
      </c>
      <c r="S13" s="59" t="s">
        <v>42</v>
      </c>
      <c r="T13" s="59">
        <v>7.95</v>
      </c>
      <c r="U13" s="60" t="str">
        <f t="shared" si="0"/>
        <v>N/A</v>
      </c>
    </row>
    <row r="14" spans="1:34" ht="75" customHeight="1" thickTop="1">
      <c r="A14" s="56"/>
      <c r="B14" s="57" t="s">
        <v>51</v>
      </c>
      <c r="C14" s="58" t="s">
        <v>302</v>
      </c>
      <c r="D14" s="58"/>
      <c r="E14" s="58"/>
      <c r="F14" s="58"/>
      <c r="G14" s="58"/>
      <c r="H14" s="58"/>
      <c r="I14" s="58" t="s">
        <v>303</v>
      </c>
      <c r="J14" s="58"/>
      <c r="K14" s="58"/>
      <c r="L14" s="58" t="s">
        <v>304</v>
      </c>
      <c r="M14" s="58"/>
      <c r="N14" s="58"/>
      <c r="O14" s="58"/>
      <c r="P14" s="59" t="s">
        <v>183</v>
      </c>
      <c r="Q14" s="59" t="s">
        <v>41</v>
      </c>
      <c r="R14" s="59">
        <v>10</v>
      </c>
      <c r="S14" s="59" t="s">
        <v>42</v>
      </c>
      <c r="T14" s="59" t="s">
        <v>42</v>
      </c>
      <c r="U14" s="60" t="str">
        <f t="shared" si="0"/>
        <v>N/A</v>
      </c>
    </row>
    <row r="15" spans="1:34" ht="75" customHeight="1">
      <c r="A15" s="56"/>
      <c r="B15" s="61" t="s">
        <v>43</v>
      </c>
      <c r="C15" s="62" t="s">
        <v>305</v>
      </c>
      <c r="D15" s="62"/>
      <c r="E15" s="62"/>
      <c r="F15" s="62"/>
      <c r="G15" s="62"/>
      <c r="H15" s="62"/>
      <c r="I15" s="62" t="s">
        <v>306</v>
      </c>
      <c r="J15" s="62"/>
      <c r="K15" s="62"/>
      <c r="L15" s="62" t="s">
        <v>307</v>
      </c>
      <c r="M15" s="62"/>
      <c r="N15" s="62"/>
      <c r="O15" s="62"/>
      <c r="P15" s="63" t="s">
        <v>183</v>
      </c>
      <c r="Q15" s="63" t="s">
        <v>41</v>
      </c>
      <c r="R15" s="63">
        <v>2.7</v>
      </c>
      <c r="S15" s="63" t="s">
        <v>42</v>
      </c>
      <c r="T15" s="63" t="s">
        <v>42</v>
      </c>
      <c r="U15" s="65" t="str">
        <f t="shared" si="0"/>
        <v>N/A</v>
      </c>
    </row>
    <row r="16" spans="1:34" ht="75" customHeight="1">
      <c r="A16" s="56"/>
      <c r="B16" s="61" t="s">
        <v>43</v>
      </c>
      <c r="C16" s="62" t="s">
        <v>43</v>
      </c>
      <c r="D16" s="62"/>
      <c r="E16" s="62"/>
      <c r="F16" s="62"/>
      <c r="G16" s="62"/>
      <c r="H16" s="62"/>
      <c r="I16" s="62" t="s">
        <v>308</v>
      </c>
      <c r="J16" s="62"/>
      <c r="K16" s="62"/>
      <c r="L16" s="62" t="s">
        <v>309</v>
      </c>
      <c r="M16" s="62"/>
      <c r="N16" s="62"/>
      <c r="O16" s="62"/>
      <c r="P16" s="63" t="s">
        <v>183</v>
      </c>
      <c r="Q16" s="63" t="s">
        <v>106</v>
      </c>
      <c r="R16" s="63">
        <v>4.3499999999999996</v>
      </c>
      <c r="S16" s="63" t="s">
        <v>42</v>
      </c>
      <c r="T16" s="63" t="s">
        <v>42</v>
      </c>
      <c r="U16" s="65" t="str">
        <f t="shared" si="0"/>
        <v>N/A</v>
      </c>
    </row>
    <row r="17" spans="1:22" ht="75" customHeight="1">
      <c r="A17" s="56"/>
      <c r="B17" s="61" t="s">
        <v>43</v>
      </c>
      <c r="C17" s="62" t="s">
        <v>43</v>
      </c>
      <c r="D17" s="62"/>
      <c r="E17" s="62"/>
      <c r="F17" s="62"/>
      <c r="G17" s="62"/>
      <c r="H17" s="62"/>
      <c r="I17" s="62" t="s">
        <v>310</v>
      </c>
      <c r="J17" s="62"/>
      <c r="K17" s="62"/>
      <c r="L17" s="62" t="s">
        <v>311</v>
      </c>
      <c r="M17" s="62"/>
      <c r="N17" s="62"/>
      <c r="O17" s="62"/>
      <c r="P17" s="63" t="s">
        <v>183</v>
      </c>
      <c r="Q17" s="63" t="s">
        <v>41</v>
      </c>
      <c r="R17" s="63">
        <v>2.5</v>
      </c>
      <c r="S17" s="63" t="s">
        <v>42</v>
      </c>
      <c r="T17" s="63" t="s">
        <v>42</v>
      </c>
      <c r="U17" s="65" t="str">
        <f t="shared" si="0"/>
        <v>N/A</v>
      </c>
    </row>
    <row r="18" spans="1:22" ht="75" customHeight="1">
      <c r="A18" s="56"/>
      <c r="B18" s="61" t="s">
        <v>43</v>
      </c>
      <c r="C18" s="62" t="s">
        <v>43</v>
      </c>
      <c r="D18" s="62"/>
      <c r="E18" s="62"/>
      <c r="F18" s="62"/>
      <c r="G18" s="62"/>
      <c r="H18" s="62"/>
      <c r="I18" s="62" t="s">
        <v>312</v>
      </c>
      <c r="J18" s="62"/>
      <c r="K18" s="62"/>
      <c r="L18" s="62" t="s">
        <v>313</v>
      </c>
      <c r="M18" s="62"/>
      <c r="N18" s="62"/>
      <c r="O18" s="62"/>
      <c r="P18" s="63" t="s">
        <v>183</v>
      </c>
      <c r="Q18" s="63" t="s">
        <v>41</v>
      </c>
      <c r="R18" s="63">
        <v>2.17</v>
      </c>
      <c r="S18" s="63" t="s">
        <v>42</v>
      </c>
      <c r="T18" s="63" t="s">
        <v>42</v>
      </c>
      <c r="U18" s="65" t="str">
        <f t="shared" si="0"/>
        <v>N/A</v>
      </c>
    </row>
    <row r="19" spans="1:22" ht="75" customHeight="1" thickBot="1">
      <c r="A19" s="56"/>
      <c r="B19" s="61" t="s">
        <v>43</v>
      </c>
      <c r="C19" s="62" t="s">
        <v>314</v>
      </c>
      <c r="D19" s="62"/>
      <c r="E19" s="62"/>
      <c r="F19" s="62"/>
      <c r="G19" s="62"/>
      <c r="H19" s="62"/>
      <c r="I19" s="62" t="s">
        <v>315</v>
      </c>
      <c r="J19" s="62"/>
      <c r="K19" s="62"/>
      <c r="L19" s="62" t="s">
        <v>316</v>
      </c>
      <c r="M19" s="62"/>
      <c r="N19" s="62"/>
      <c r="O19" s="62"/>
      <c r="P19" s="63" t="s">
        <v>40</v>
      </c>
      <c r="Q19" s="63" t="s">
        <v>41</v>
      </c>
      <c r="R19" s="63">
        <v>100</v>
      </c>
      <c r="S19" s="63" t="s">
        <v>42</v>
      </c>
      <c r="T19" s="63" t="s">
        <v>42</v>
      </c>
      <c r="U19" s="65" t="str">
        <f t="shared" si="0"/>
        <v>N/A</v>
      </c>
    </row>
    <row r="20" spans="1:22" ht="75" customHeight="1" thickTop="1">
      <c r="A20" s="56"/>
      <c r="B20" s="57" t="s">
        <v>56</v>
      </c>
      <c r="C20" s="58" t="s">
        <v>317</v>
      </c>
      <c r="D20" s="58"/>
      <c r="E20" s="58"/>
      <c r="F20" s="58"/>
      <c r="G20" s="58"/>
      <c r="H20" s="58"/>
      <c r="I20" s="58" t="s">
        <v>318</v>
      </c>
      <c r="J20" s="58"/>
      <c r="K20" s="58"/>
      <c r="L20" s="58" t="s">
        <v>319</v>
      </c>
      <c r="M20" s="58"/>
      <c r="N20" s="58"/>
      <c r="O20" s="58"/>
      <c r="P20" s="59" t="s">
        <v>40</v>
      </c>
      <c r="Q20" s="59" t="s">
        <v>116</v>
      </c>
      <c r="R20" s="59">
        <v>100</v>
      </c>
      <c r="S20" s="59">
        <v>28.26</v>
      </c>
      <c r="T20" s="59">
        <v>0.43</v>
      </c>
      <c r="U20" s="60">
        <f t="shared" si="0"/>
        <v>1.5215852795470628</v>
      </c>
    </row>
    <row r="21" spans="1:22" ht="75" customHeight="1">
      <c r="A21" s="56"/>
      <c r="B21" s="61" t="s">
        <v>43</v>
      </c>
      <c r="C21" s="62" t="s">
        <v>320</v>
      </c>
      <c r="D21" s="62"/>
      <c r="E21" s="62"/>
      <c r="F21" s="62"/>
      <c r="G21" s="62"/>
      <c r="H21" s="62"/>
      <c r="I21" s="62" t="s">
        <v>321</v>
      </c>
      <c r="J21" s="62"/>
      <c r="K21" s="62"/>
      <c r="L21" s="62" t="s">
        <v>322</v>
      </c>
      <c r="M21" s="62"/>
      <c r="N21" s="62"/>
      <c r="O21" s="62"/>
      <c r="P21" s="63" t="s">
        <v>40</v>
      </c>
      <c r="Q21" s="63" t="s">
        <v>116</v>
      </c>
      <c r="R21" s="63">
        <v>100</v>
      </c>
      <c r="S21" s="63">
        <v>23.73</v>
      </c>
      <c r="T21" s="63">
        <v>3.58</v>
      </c>
      <c r="U21" s="65">
        <f t="shared" si="0"/>
        <v>15.086388537715973</v>
      </c>
    </row>
    <row r="22" spans="1:22" ht="75" customHeight="1">
      <c r="A22" s="56"/>
      <c r="B22" s="61" t="s">
        <v>43</v>
      </c>
      <c r="C22" s="62" t="s">
        <v>323</v>
      </c>
      <c r="D22" s="62"/>
      <c r="E22" s="62"/>
      <c r="F22" s="62"/>
      <c r="G22" s="62"/>
      <c r="H22" s="62"/>
      <c r="I22" s="62" t="s">
        <v>324</v>
      </c>
      <c r="J22" s="62"/>
      <c r="K22" s="62"/>
      <c r="L22" s="62" t="s">
        <v>325</v>
      </c>
      <c r="M22" s="62"/>
      <c r="N22" s="62"/>
      <c r="O22" s="62"/>
      <c r="P22" s="63" t="s">
        <v>40</v>
      </c>
      <c r="Q22" s="63" t="s">
        <v>116</v>
      </c>
      <c r="R22" s="63">
        <v>100</v>
      </c>
      <c r="S22" s="63">
        <v>9.89</v>
      </c>
      <c r="T22" s="63">
        <v>0</v>
      </c>
      <c r="U22" s="65">
        <f t="shared" si="0"/>
        <v>0</v>
      </c>
    </row>
    <row r="23" spans="1:22" ht="75" customHeight="1">
      <c r="A23" s="56"/>
      <c r="B23" s="61" t="s">
        <v>43</v>
      </c>
      <c r="C23" s="62" t="s">
        <v>326</v>
      </c>
      <c r="D23" s="62"/>
      <c r="E23" s="62"/>
      <c r="F23" s="62"/>
      <c r="G23" s="62"/>
      <c r="H23" s="62"/>
      <c r="I23" s="62" t="s">
        <v>327</v>
      </c>
      <c r="J23" s="62"/>
      <c r="K23" s="62"/>
      <c r="L23" s="62" t="s">
        <v>328</v>
      </c>
      <c r="M23" s="62"/>
      <c r="N23" s="62"/>
      <c r="O23" s="62"/>
      <c r="P23" s="63" t="s">
        <v>40</v>
      </c>
      <c r="Q23" s="63" t="s">
        <v>116</v>
      </c>
      <c r="R23" s="63">
        <v>100</v>
      </c>
      <c r="S23" s="63">
        <v>2.58</v>
      </c>
      <c r="T23" s="63">
        <v>25.35</v>
      </c>
      <c r="U23" s="65">
        <f t="shared" si="0"/>
        <v>982.55813953488382</v>
      </c>
    </row>
    <row r="24" spans="1:22" ht="75" customHeight="1">
      <c r="A24" s="56"/>
      <c r="B24" s="61" t="s">
        <v>43</v>
      </c>
      <c r="C24" s="62" t="s">
        <v>329</v>
      </c>
      <c r="D24" s="62"/>
      <c r="E24" s="62"/>
      <c r="F24" s="62"/>
      <c r="G24" s="62"/>
      <c r="H24" s="62"/>
      <c r="I24" s="62" t="s">
        <v>330</v>
      </c>
      <c r="J24" s="62"/>
      <c r="K24" s="62"/>
      <c r="L24" s="62" t="s">
        <v>331</v>
      </c>
      <c r="M24" s="62"/>
      <c r="N24" s="62"/>
      <c r="O24" s="62"/>
      <c r="P24" s="63" t="s">
        <v>40</v>
      </c>
      <c r="Q24" s="63" t="s">
        <v>116</v>
      </c>
      <c r="R24" s="63">
        <v>100</v>
      </c>
      <c r="S24" s="63">
        <v>1.1499999999999999</v>
      </c>
      <c r="T24" s="63">
        <v>0</v>
      </c>
      <c r="U24" s="65">
        <f t="shared" si="0"/>
        <v>0</v>
      </c>
    </row>
    <row r="25" spans="1:22" ht="75" customHeight="1">
      <c r="A25" s="56"/>
      <c r="B25" s="61" t="s">
        <v>43</v>
      </c>
      <c r="C25" s="62" t="s">
        <v>332</v>
      </c>
      <c r="D25" s="62"/>
      <c r="E25" s="62"/>
      <c r="F25" s="62"/>
      <c r="G25" s="62"/>
      <c r="H25" s="62"/>
      <c r="I25" s="62" t="s">
        <v>333</v>
      </c>
      <c r="J25" s="62"/>
      <c r="K25" s="62"/>
      <c r="L25" s="62" t="s">
        <v>334</v>
      </c>
      <c r="M25" s="62"/>
      <c r="N25" s="62"/>
      <c r="O25" s="62"/>
      <c r="P25" s="63" t="s">
        <v>40</v>
      </c>
      <c r="Q25" s="63" t="s">
        <v>116</v>
      </c>
      <c r="R25" s="63">
        <v>100</v>
      </c>
      <c r="S25" s="63">
        <v>0</v>
      </c>
      <c r="T25" s="63">
        <v>0</v>
      </c>
      <c r="U25" s="65" t="str">
        <f t="shared" si="0"/>
        <v>N/A</v>
      </c>
    </row>
    <row r="26" spans="1:22" ht="75" customHeight="1">
      <c r="A26" s="56"/>
      <c r="B26" s="61" t="s">
        <v>43</v>
      </c>
      <c r="C26" s="62" t="s">
        <v>335</v>
      </c>
      <c r="D26" s="62"/>
      <c r="E26" s="62"/>
      <c r="F26" s="62"/>
      <c r="G26" s="62"/>
      <c r="H26" s="62"/>
      <c r="I26" s="62" t="s">
        <v>336</v>
      </c>
      <c r="J26" s="62"/>
      <c r="K26" s="62"/>
      <c r="L26" s="62" t="s">
        <v>337</v>
      </c>
      <c r="M26" s="62"/>
      <c r="N26" s="62"/>
      <c r="O26" s="62"/>
      <c r="P26" s="63" t="s">
        <v>40</v>
      </c>
      <c r="Q26" s="63" t="s">
        <v>116</v>
      </c>
      <c r="R26" s="63">
        <v>100</v>
      </c>
      <c r="S26" s="63">
        <v>28.57</v>
      </c>
      <c r="T26" s="63">
        <v>0</v>
      </c>
      <c r="U26" s="65">
        <f t="shared" si="0"/>
        <v>0</v>
      </c>
    </row>
    <row r="27" spans="1:22" ht="75" customHeight="1">
      <c r="A27" s="56"/>
      <c r="B27" s="61" t="s">
        <v>43</v>
      </c>
      <c r="C27" s="62" t="s">
        <v>43</v>
      </c>
      <c r="D27" s="62"/>
      <c r="E27" s="62"/>
      <c r="F27" s="62"/>
      <c r="G27" s="62"/>
      <c r="H27" s="62"/>
      <c r="I27" s="62" t="s">
        <v>338</v>
      </c>
      <c r="J27" s="62"/>
      <c r="K27" s="62"/>
      <c r="L27" s="62" t="s">
        <v>339</v>
      </c>
      <c r="M27" s="62"/>
      <c r="N27" s="62"/>
      <c r="O27" s="62"/>
      <c r="P27" s="63" t="s">
        <v>40</v>
      </c>
      <c r="Q27" s="63" t="s">
        <v>116</v>
      </c>
      <c r="R27" s="63">
        <v>100</v>
      </c>
      <c r="S27" s="63">
        <v>28.57</v>
      </c>
      <c r="T27" s="63">
        <v>0</v>
      </c>
      <c r="U27" s="65">
        <f t="shared" si="0"/>
        <v>0</v>
      </c>
    </row>
    <row r="28" spans="1:22" ht="75" customHeight="1">
      <c r="A28" s="56"/>
      <c r="B28" s="61" t="s">
        <v>43</v>
      </c>
      <c r="C28" s="62" t="s">
        <v>340</v>
      </c>
      <c r="D28" s="62"/>
      <c r="E28" s="62"/>
      <c r="F28" s="62"/>
      <c r="G28" s="62"/>
      <c r="H28" s="62"/>
      <c r="I28" s="62" t="s">
        <v>341</v>
      </c>
      <c r="J28" s="62"/>
      <c r="K28" s="62"/>
      <c r="L28" s="62" t="s">
        <v>342</v>
      </c>
      <c r="M28" s="62"/>
      <c r="N28" s="62"/>
      <c r="O28" s="62"/>
      <c r="P28" s="63" t="s">
        <v>40</v>
      </c>
      <c r="Q28" s="63" t="s">
        <v>116</v>
      </c>
      <c r="R28" s="63">
        <v>100</v>
      </c>
      <c r="S28" s="63">
        <v>25.93</v>
      </c>
      <c r="T28" s="63">
        <v>0</v>
      </c>
      <c r="U28" s="65">
        <f t="shared" si="0"/>
        <v>0</v>
      </c>
    </row>
    <row r="29" spans="1:22" ht="75" customHeight="1" thickBot="1">
      <c r="A29" s="56"/>
      <c r="B29" s="61" t="s">
        <v>43</v>
      </c>
      <c r="C29" s="62" t="s">
        <v>343</v>
      </c>
      <c r="D29" s="62"/>
      <c r="E29" s="62"/>
      <c r="F29" s="62"/>
      <c r="G29" s="62"/>
      <c r="H29" s="62"/>
      <c r="I29" s="62" t="s">
        <v>344</v>
      </c>
      <c r="J29" s="62"/>
      <c r="K29" s="62"/>
      <c r="L29" s="62" t="s">
        <v>345</v>
      </c>
      <c r="M29" s="62"/>
      <c r="N29" s="62"/>
      <c r="O29" s="62"/>
      <c r="P29" s="63" t="s">
        <v>40</v>
      </c>
      <c r="Q29" s="63" t="s">
        <v>116</v>
      </c>
      <c r="R29" s="63">
        <v>100</v>
      </c>
      <c r="S29" s="63">
        <v>51</v>
      </c>
      <c r="T29" s="63">
        <v>0</v>
      </c>
      <c r="U29" s="65">
        <f t="shared" si="0"/>
        <v>0</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2000</f>
        <v>2000</v>
      </c>
      <c r="S33" s="84">
        <f>2000</f>
        <v>2000</v>
      </c>
      <c r="T33" s="84">
        <f>2095</f>
        <v>2095</v>
      </c>
      <c r="U33" s="85">
        <f>+IF(ISERR(T33/S33*100),"N/A",T33/S33*100)</f>
        <v>104.75000000000001</v>
      </c>
    </row>
    <row r="34" spans="2:21" ht="13.5" customHeight="1" thickBot="1">
      <c r="B34" s="86" t="s">
        <v>69</v>
      </c>
      <c r="C34" s="87"/>
      <c r="D34" s="87"/>
      <c r="E34" s="88"/>
      <c r="F34" s="88"/>
      <c r="G34" s="88"/>
      <c r="H34" s="89"/>
      <c r="I34" s="89"/>
      <c r="J34" s="89"/>
      <c r="K34" s="89"/>
      <c r="L34" s="89"/>
      <c r="M34" s="89"/>
      <c r="N34" s="89"/>
      <c r="O34" s="89"/>
      <c r="P34" s="90"/>
      <c r="Q34" s="90"/>
      <c r="R34" s="84">
        <f>2218</f>
        <v>2218</v>
      </c>
      <c r="S34" s="84">
        <f>2201.47981801</f>
        <v>2201.4798180100001</v>
      </c>
      <c r="T34" s="84">
        <f>2095</f>
        <v>2095</v>
      </c>
      <c r="U34" s="85">
        <f>+IF(ISERR(T34/S34*100),"N/A",T34/S34*100)</f>
        <v>95.163261677944831</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346</v>
      </c>
      <c r="C37" s="96"/>
      <c r="D37" s="96"/>
      <c r="E37" s="96"/>
      <c r="F37" s="96"/>
      <c r="G37" s="96"/>
      <c r="H37" s="96"/>
      <c r="I37" s="96"/>
      <c r="J37" s="96"/>
      <c r="K37" s="96"/>
      <c r="L37" s="96"/>
      <c r="M37" s="96"/>
      <c r="N37" s="96"/>
      <c r="O37" s="96"/>
      <c r="P37" s="96"/>
      <c r="Q37" s="96"/>
      <c r="R37" s="96"/>
      <c r="S37" s="96"/>
      <c r="T37" s="96"/>
      <c r="U37" s="95"/>
    </row>
    <row r="38" spans="2:21" ht="34.5" customHeight="1">
      <c r="B38" s="94" t="s">
        <v>347</v>
      </c>
      <c r="C38" s="96"/>
      <c r="D38" s="96"/>
      <c r="E38" s="96"/>
      <c r="F38" s="96"/>
      <c r="G38" s="96"/>
      <c r="H38" s="96"/>
      <c r="I38" s="96"/>
      <c r="J38" s="96"/>
      <c r="K38" s="96"/>
      <c r="L38" s="96"/>
      <c r="M38" s="96"/>
      <c r="N38" s="96"/>
      <c r="O38" s="96"/>
      <c r="P38" s="96"/>
      <c r="Q38" s="96"/>
      <c r="R38" s="96"/>
      <c r="S38" s="96"/>
      <c r="T38" s="96"/>
      <c r="U38" s="95"/>
    </row>
    <row r="39" spans="2:21" ht="18" customHeight="1">
      <c r="B39" s="94" t="s">
        <v>348</v>
      </c>
      <c r="C39" s="96"/>
      <c r="D39" s="96"/>
      <c r="E39" s="96"/>
      <c r="F39" s="96"/>
      <c r="G39" s="96"/>
      <c r="H39" s="96"/>
      <c r="I39" s="96"/>
      <c r="J39" s="96"/>
      <c r="K39" s="96"/>
      <c r="L39" s="96"/>
      <c r="M39" s="96"/>
      <c r="N39" s="96"/>
      <c r="O39" s="96"/>
      <c r="P39" s="96"/>
      <c r="Q39" s="96"/>
      <c r="R39" s="96"/>
      <c r="S39" s="96"/>
      <c r="T39" s="96"/>
      <c r="U39" s="95"/>
    </row>
    <row r="40" spans="2:21" ht="34.5" customHeight="1">
      <c r="B40" s="94" t="s">
        <v>349</v>
      </c>
      <c r="C40" s="96"/>
      <c r="D40" s="96"/>
      <c r="E40" s="96"/>
      <c r="F40" s="96"/>
      <c r="G40" s="96"/>
      <c r="H40" s="96"/>
      <c r="I40" s="96"/>
      <c r="J40" s="96"/>
      <c r="K40" s="96"/>
      <c r="L40" s="96"/>
      <c r="M40" s="96"/>
      <c r="N40" s="96"/>
      <c r="O40" s="96"/>
      <c r="P40" s="96"/>
      <c r="Q40" s="96"/>
      <c r="R40" s="96"/>
      <c r="S40" s="96"/>
      <c r="T40" s="96"/>
      <c r="U40" s="95"/>
    </row>
    <row r="41" spans="2:21" ht="34.5" customHeight="1">
      <c r="B41" s="94" t="s">
        <v>350</v>
      </c>
      <c r="C41" s="96"/>
      <c r="D41" s="96"/>
      <c r="E41" s="96"/>
      <c r="F41" s="96"/>
      <c r="G41" s="96"/>
      <c r="H41" s="96"/>
      <c r="I41" s="96"/>
      <c r="J41" s="96"/>
      <c r="K41" s="96"/>
      <c r="L41" s="96"/>
      <c r="M41" s="96"/>
      <c r="N41" s="96"/>
      <c r="O41" s="96"/>
      <c r="P41" s="96"/>
      <c r="Q41" s="96"/>
      <c r="R41" s="96"/>
      <c r="S41" s="96"/>
      <c r="T41" s="96"/>
      <c r="U41" s="95"/>
    </row>
    <row r="42" spans="2:21" ht="34.5" customHeight="1">
      <c r="B42" s="94" t="s">
        <v>351</v>
      </c>
      <c r="C42" s="96"/>
      <c r="D42" s="96"/>
      <c r="E42" s="96"/>
      <c r="F42" s="96"/>
      <c r="G42" s="96"/>
      <c r="H42" s="96"/>
      <c r="I42" s="96"/>
      <c r="J42" s="96"/>
      <c r="K42" s="96"/>
      <c r="L42" s="96"/>
      <c r="M42" s="96"/>
      <c r="N42" s="96"/>
      <c r="O42" s="96"/>
      <c r="P42" s="96"/>
      <c r="Q42" s="96"/>
      <c r="R42" s="96"/>
      <c r="S42" s="96"/>
      <c r="T42" s="96"/>
      <c r="U42" s="95"/>
    </row>
    <row r="43" spans="2:21" ht="34.5" customHeight="1">
      <c r="B43" s="94" t="s">
        <v>352</v>
      </c>
      <c r="C43" s="96"/>
      <c r="D43" s="96"/>
      <c r="E43" s="96"/>
      <c r="F43" s="96"/>
      <c r="G43" s="96"/>
      <c r="H43" s="96"/>
      <c r="I43" s="96"/>
      <c r="J43" s="96"/>
      <c r="K43" s="96"/>
      <c r="L43" s="96"/>
      <c r="M43" s="96"/>
      <c r="N43" s="96"/>
      <c r="O43" s="96"/>
      <c r="P43" s="96"/>
      <c r="Q43" s="96"/>
      <c r="R43" s="96"/>
      <c r="S43" s="96"/>
      <c r="T43" s="96"/>
      <c r="U43" s="95"/>
    </row>
    <row r="44" spans="2:21" ht="34.5" customHeight="1">
      <c r="B44" s="94" t="s">
        <v>353</v>
      </c>
      <c r="C44" s="96"/>
      <c r="D44" s="96"/>
      <c r="E44" s="96"/>
      <c r="F44" s="96"/>
      <c r="G44" s="96"/>
      <c r="H44" s="96"/>
      <c r="I44" s="96"/>
      <c r="J44" s="96"/>
      <c r="K44" s="96"/>
      <c r="L44" s="96"/>
      <c r="M44" s="96"/>
      <c r="N44" s="96"/>
      <c r="O44" s="96"/>
      <c r="P44" s="96"/>
      <c r="Q44" s="96"/>
      <c r="R44" s="96"/>
      <c r="S44" s="96"/>
      <c r="T44" s="96"/>
      <c r="U44" s="95"/>
    </row>
    <row r="45" spans="2:21" ht="16.5" customHeight="1">
      <c r="B45" s="94" t="s">
        <v>354</v>
      </c>
      <c r="C45" s="96"/>
      <c r="D45" s="96"/>
      <c r="E45" s="96"/>
      <c r="F45" s="96"/>
      <c r="G45" s="96"/>
      <c r="H45" s="96"/>
      <c r="I45" s="96"/>
      <c r="J45" s="96"/>
      <c r="K45" s="96"/>
      <c r="L45" s="96"/>
      <c r="M45" s="96"/>
      <c r="N45" s="96"/>
      <c r="O45" s="96"/>
      <c r="P45" s="96"/>
      <c r="Q45" s="96"/>
      <c r="R45" s="96"/>
      <c r="S45" s="96"/>
      <c r="T45" s="96"/>
      <c r="U45" s="95"/>
    </row>
    <row r="46" spans="2:21" ht="39.200000000000003" customHeight="1">
      <c r="B46" s="94" t="s">
        <v>355</v>
      </c>
      <c r="C46" s="96"/>
      <c r="D46" s="96"/>
      <c r="E46" s="96"/>
      <c r="F46" s="96"/>
      <c r="G46" s="96"/>
      <c r="H46" s="96"/>
      <c r="I46" s="96"/>
      <c r="J46" s="96"/>
      <c r="K46" s="96"/>
      <c r="L46" s="96"/>
      <c r="M46" s="96"/>
      <c r="N46" s="96"/>
      <c r="O46" s="96"/>
      <c r="P46" s="96"/>
      <c r="Q46" s="96"/>
      <c r="R46" s="96"/>
      <c r="S46" s="96"/>
      <c r="T46" s="96"/>
      <c r="U46" s="95"/>
    </row>
    <row r="47" spans="2:21" ht="42" customHeight="1">
      <c r="B47" s="94" t="s">
        <v>356</v>
      </c>
      <c r="C47" s="96"/>
      <c r="D47" s="96"/>
      <c r="E47" s="96"/>
      <c r="F47" s="96"/>
      <c r="G47" s="96"/>
      <c r="H47" s="96"/>
      <c r="I47" s="96"/>
      <c r="J47" s="96"/>
      <c r="K47" s="96"/>
      <c r="L47" s="96"/>
      <c r="M47" s="96"/>
      <c r="N47" s="96"/>
      <c r="O47" s="96"/>
      <c r="P47" s="96"/>
      <c r="Q47" s="96"/>
      <c r="R47" s="96"/>
      <c r="S47" s="96"/>
      <c r="T47" s="96"/>
      <c r="U47" s="95"/>
    </row>
    <row r="48" spans="2:21" ht="27.75" customHeight="1">
      <c r="B48" s="94" t="s">
        <v>357</v>
      </c>
      <c r="C48" s="96"/>
      <c r="D48" s="96"/>
      <c r="E48" s="96"/>
      <c r="F48" s="96"/>
      <c r="G48" s="96"/>
      <c r="H48" s="96"/>
      <c r="I48" s="96"/>
      <c r="J48" s="96"/>
      <c r="K48" s="96"/>
      <c r="L48" s="96"/>
      <c r="M48" s="96"/>
      <c r="N48" s="96"/>
      <c r="O48" s="96"/>
      <c r="P48" s="96"/>
      <c r="Q48" s="96"/>
      <c r="R48" s="96"/>
      <c r="S48" s="96"/>
      <c r="T48" s="96"/>
      <c r="U48" s="95"/>
    </row>
    <row r="49" spans="2:21" ht="33.6" customHeight="1">
      <c r="B49" s="94" t="s">
        <v>358</v>
      </c>
      <c r="C49" s="96"/>
      <c r="D49" s="96"/>
      <c r="E49" s="96"/>
      <c r="F49" s="96"/>
      <c r="G49" s="96"/>
      <c r="H49" s="96"/>
      <c r="I49" s="96"/>
      <c r="J49" s="96"/>
      <c r="K49" s="96"/>
      <c r="L49" s="96"/>
      <c r="M49" s="96"/>
      <c r="N49" s="96"/>
      <c r="O49" s="96"/>
      <c r="P49" s="96"/>
      <c r="Q49" s="96"/>
      <c r="R49" s="96"/>
      <c r="S49" s="96"/>
      <c r="T49" s="96"/>
      <c r="U49" s="95"/>
    </row>
    <row r="50" spans="2:21" ht="32.450000000000003" customHeight="1">
      <c r="B50" s="94" t="s">
        <v>359</v>
      </c>
      <c r="C50" s="96"/>
      <c r="D50" s="96"/>
      <c r="E50" s="96"/>
      <c r="F50" s="96"/>
      <c r="G50" s="96"/>
      <c r="H50" s="96"/>
      <c r="I50" s="96"/>
      <c r="J50" s="96"/>
      <c r="K50" s="96"/>
      <c r="L50" s="96"/>
      <c r="M50" s="96"/>
      <c r="N50" s="96"/>
      <c r="O50" s="96"/>
      <c r="P50" s="96"/>
      <c r="Q50" s="96"/>
      <c r="R50" s="96"/>
      <c r="S50" s="96"/>
      <c r="T50" s="96"/>
      <c r="U50" s="95"/>
    </row>
    <row r="51" spans="2:21" ht="37.35" customHeight="1">
      <c r="B51" s="94" t="s">
        <v>360</v>
      </c>
      <c r="C51" s="96"/>
      <c r="D51" s="96"/>
      <c r="E51" s="96"/>
      <c r="F51" s="96"/>
      <c r="G51" s="96"/>
      <c r="H51" s="96"/>
      <c r="I51" s="96"/>
      <c r="J51" s="96"/>
      <c r="K51" s="96"/>
      <c r="L51" s="96"/>
      <c r="M51" s="96"/>
      <c r="N51" s="96"/>
      <c r="O51" s="96"/>
      <c r="P51" s="96"/>
      <c r="Q51" s="96"/>
      <c r="R51" s="96"/>
      <c r="S51" s="96"/>
      <c r="T51" s="96"/>
      <c r="U51" s="95"/>
    </row>
    <row r="52" spans="2:21" ht="31.7" customHeight="1">
      <c r="B52" s="94" t="s">
        <v>361</v>
      </c>
      <c r="C52" s="96"/>
      <c r="D52" s="96"/>
      <c r="E52" s="96"/>
      <c r="F52" s="96"/>
      <c r="G52" s="96"/>
      <c r="H52" s="96"/>
      <c r="I52" s="96"/>
      <c r="J52" s="96"/>
      <c r="K52" s="96"/>
      <c r="L52" s="96"/>
      <c r="M52" s="96"/>
      <c r="N52" s="96"/>
      <c r="O52" s="96"/>
      <c r="P52" s="96"/>
      <c r="Q52" s="96"/>
      <c r="R52" s="96"/>
      <c r="S52" s="96"/>
      <c r="T52" s="96"/>
      <c r="U52" s="95"/>
    </row>
    <row r="53" spans="2:21" ht="34.700000000000003" customHeight="1">
      <c r="B53" s="94" t="s">
        <v>362</v>
      </c>
      <c r="C53" s="96"/>
      <c r="D53" s="96"/>
      <c r="E53" s="96"/>
      <c r="F53" s="96"/>
      <c r="G53" s="96"/>
      <c r="H53" s="96"/>
      <c r="I53" s="96"/>
      <c r="J53" s="96"/>
      <c r="K53" s="96"/>
      <c r="L53" s="96"/>
      <c r="M53" s="96"/>
      <c r="N53" s="96"/>
      <c r="O53" s="96"/>
      <c r="P53" s="96"/>
      <c r="Q53" s="96"/>
      <c r="R53" s="96"/>
      <c r="S53" s="96"/>
      <c r="T53" s="96"/>
      <c r="U53" s="95"/>
    </row>
    <row r="54" spans="2:21" ht="27.75" customHeight="1">
      <c r="B54" s="94" t="s">
        <v>363</v>
      </c>
      <c r="C54" s="96"/>
      <c r="D54" s="96"/>
      <c r="E54" s="96"/>
      <c r="F54" s="96"/>
      <c r="G54" s="96"/>
      <c r="H54" s="96"/>
      <c r="I54" s="96"/>
      <c r="J54" s="96"/>
      <c r="K54" s="96"/>
      <c r="L54" s="96"/>
      <c r="M54" s="96"/>
      <c r="N54" s="96"/>
      <c r="O54" s="96"/>
      <c r="P54" s="96"/>
      <c r="Q54" s="96"/>
      <c r="R54" s="96"/>
      <c r="S54" s="96"/>
      <c r="T54" s="96"/>
      <c r="U54" s="95"/>
    </row>
    <row r="55" spans="2:21" ht="36.950000000000003" customHeight="1" thickBot="1">
      <c r="B55" s="97" t="s">
        <v>364</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365</v>
      </c>
      <c r="D4" s="15" t="s">
        <v>366</v>
      </c>
      <c r="E4" s="15"/>
      <c r="F4" s="15"/>
      <c r="G4" s="15"/>
      <c r="H4" s="15"/>
      <c r="I4" s="16"/>
      <c r="J4" s="17" t="s">
        <v>6</v>
      </c>
      <c r="K4" s="18" t="s">
        <v>7</v>
      </c>
      <c r="L4" s="19" t="s">
        <v>8</v>
      </c>
      <c r="M4" s="19"/>
      <c r="N4" s="19"/>
      <c r="O4" s="19"/>
      <c r="P4" s="17" t="s">
        <v>9</v>
      </c>
      <c r="Q4" s="19" t="s">
        <v>367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368</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6" si="0">IF(ISERR(T11/S11*100),"N/A",T11/S11*100)</f>
        <v>N/A</v>
      </c>
    </row>
    <row r="12" spans="1:34" ht="75" customHeight="1" thickTop="1" thickBot="1">
      <c r="A12" s="56"/>
      <c r="B12" s="57" t="s">
        <v>46</v>
      </c>
      <c r="C12" s="58" t="s">
        <v>369</v>
      </c>
      <c r="D12" s="58"/>
      <c r="E12" s="58"/>
      <c r="F12" s="58"/>
      <c r="G12" s="58"/>
      <c r="H12" s="58"/>
      <c r="I12" s="58" t="s">
        <v>370</v>
      </c>
      <c r="J12" s="58"/>
      <c r="K12" s="58"/>
      <c r="L12" s="58" t="s">
        <v>371</v>
      </c>
      <c r="M12" s="58"/>
      <c r="N12" s="58"/>
      <c r="O12" s="58"/>
      <c r="P12" s="59" t="s">
        <v>372</v>
      </c>
      <c r="Q12" s="59" t="s">
        <v>41</v>
      </c>
      <c r="R12" s="59">
        <v>124300.91</v>
      </c>
      <c r="S12" s="59" t="s">
        <v>42</v>
      </c>
      <c r="T12" s="59" t="s">
        <v>42</v>
      </c>
      <c r="U12" s="60" t="str">
        <f t="shared" si="0"/>
        <v>N/A</v>
      </c>
    </row>
    <row r="13" spans="1:34" ht="75" customHeight="1" thickTop="1">
      <c r="A13" s="56"/>
      <c r="B13" s="57" t="s">
        <v>51</v>
      </c>
      <c r="C13" s="58" t="s">
        <v>373</v>
      </c>
      <c r="D13" s="58"/>
      <c r="E13" s="58"/>
      <c r="F13" s="58"/>
      <c r="G13" s="58"/>
      <c r="H13" s="58"/>
      <c r="I13" s="58" t="s">
        <v>374</v>
      </c>
      <c r="J13" s="58"/>
      <c r="K13" s="58"/>
      <c r="L13" s="58" t="s">
        <v>375</v>
      </c>
      <c r="M13" s="58"/>
      <c r="N13" s="58"/>
      <c r="O13" s="58"/>
      <c r="P13" s="59" t="s">
        <v>40</v>
      </c>
      <c r="Q13" s="59" t="s">
        <v>93</v>
      </c>
      <c r="R13" s="59">
        <v>84.25</v>
      </c>
      <c r="S13" s="59">
        <v>28.73</v>
      </c>
      <c r="T13" s="59">
        <v>53.09</v>
      </c>
      <c r="U13" s="60">
        <f t="shared" si="0"/>
        <v>184.78941872607032</v>
      </c>
    </row>
    <row r="14" spans="1:34" ht="75" customHeight="1">
      <c r="A14" s="56"/>
      <c r="B14" s="61" t="s">
        <v>43</v>
      </c>
      <c r="C14" s="62" t="s">
        <v>43</v>
      </c>
      <c r="D14" s="62"/>
      <c r="E14" s="62"/>
      <c r="F14" s="62"/>
      <c r="G14" s="62"/>
      <c r="H14" s="62"/>
      <c r="I14" s="62" t="s">
        <v>376</v>
      </c>
      <c r="J14" s="62"/>
      <c r="K14" s="62"/>
      <c r="L14" s="62" t="s">
        <v>377</v>
      </c>
      <c r="M14" s="62"/>
      <c r="N14" s="62"/>
      <c r="O14" s="62"/>
      <c r="P14" s="63" t="s">
        <v>40</v>
      </c>
      <c r="Q14" s="63" t="s">
        <v>93</v>
      </c>
      <c r="R14" s="63">
        <v>2.44</v>
      </c>
      <c r="S14" s="63">
        <v>6.59</v>
      </c>
      <c r="T14" s="63">
        <v>8.74</v>
      </c>
      <c r="U14" s="65">
        <f t="shared" si="0"/>
        <v>132.62518968133537</v>
      </c>
    </row>
    <row r="15" spans="1:34" ht="75" customHeight="1">
      <c r="A15" s="56"/>
      <c r="B15" s="61" t="s">
        <v>43</v>
      </c>
      <c r="C15" s="62" t="s">
        <v>378</v>
      </c>
      <c r="D15" s="62"/>
      <c r="E15" s="62"/>
      <c r="F15" s="62"/>
      <c r="G15" s="62"/>
      <c r="H15" s="62"/>
      <c r="I15" s="62" t="s">
        <v>379</v>
      </c>
      <c r="J15" s="62"/>
      <c r="K15" s="62"/>
      <c r="L15" s="62" t="s">
        <v>380</v>
      </c>
      <c r="M15" s="62"/>
      <c r="N15" s="62"/>
      <c r="O15" s="62"/>
      <c r="P15" s="63" t="s">
        <v>40</v>
      </c>
      <c r="Q15" s="63" t="s">
        <v>93</v>
      </c>
      <c r="R15" s="63">
        <v>122.43</v>
      </c>
      <c r="S15" s="63">
        <v>55.39</v>
      </c>
      <c r="T15" s="63">
        <v>78.56</v>
      </c>
      <c r="U15" s="65">
        <f t="shared" si="0"/>
        <v>141.83065535295179</v>
      </c>
    </row>
    <row r="16" spans="1:34" ht="75" customHeight="1">
      <c r="A16" s="56"/>
      <c r="B16" s="61" t="s">
        <v>43</v>
      </c>
      <c r="C16" s="62" t="s">
        <v>43</v>
      </c>
      <c r="D16" s="62"/>
      <c r="E16" s="62"/>
      <c r="F16" s="62"/>
      <c r="G16" s="62"/>
      <c r="H16" s="62"/>
      <c r="I16" s="62" t="s">
        <v>381</v>
      </c>
      <c r="J16" s="62"/>
      <c r="K16" s="62"/>
      <c r="L16" s="62" t="s">
        <v>382</v>
      </c>
      <c r="M16" s="62"/>
      <c r="N16" s="62"/>
      <c r="O16" s="62"/>
      <c r="P16" s="63" t="s">
        <v>40</v>
      </c>
      <c r="Q16" s="63" t="s">
        <v>93</v>
      </c>
      <c r="R16" s="63">
        <v>123.15</v>
      </c>
      <c r="S16" s="63">
        <v>86.76</v>
      </c>
      <c r="T16" s="63">
        <v>153.91999999999999</v>
      </c>
      <c r="U16" s="65">
        <f t="shared" si="0"/>
        <v>177.40894421392343</v>
      </c>
    </row>
    <row r="17" spans="1:22" ht="75" customHeight="1">
      <c r="A17" s="56"/>
      <c r="B17" s="61" t="s">
        <v>43</v>
      </c>
      <c r="C17" s="62" t="s">
        <v>383</v>
      </c>
      <c r="D17" s="62"/>
      <c r="E17" s="62"/>
      <c r="F17" s="62"/>
      <c r="G17" s="62"/>
      <c r="H17" s="62"/>
      <c r="I17" s="62" t="s">
        <v>384</v>
      </c>
      <c r="J17" s="62"/>
      <c r="K17" s="62"/>
      <c r="L17" s="62" t="s">
        <v>385</v>
      </c>
      <c r="M17" s="62"/>
      <c r="N17" s="62"/>
      <c r="O17" s="62"/>
      <c r="P17" s="63" t="s">
        <v>372</v>
      </c>
      <c r="Q17" s="63" t="s">
        <v>50</v>
      </c>
      <c r="R17" s="63">
        <v>1.5</v>
      </c>
      <c r="S17" s="63" t="s">
        <v>42</v>
      </c>
      <c r="T17" s="63" t="s">
        <v>42</v>
      </c>
      <c r="U17" s="65" t="str">
        <f t="shared" si="0"/>
        <v>N/A</v>
      </c>
    </row>
    <row r="18" spans="1:22" ht="75" customHeight="1">
      <c r="A18" s="56"/>
      <c r="B18" s="61" t="s">
        <v>43</v>
      </c>
      <c r="C18" s="62" t="s">
        <v>386</v>
      </c>
      <c r="D18" s="62"/>
      <c r="E18" s="62"/>
      <c r="F18" s="62"/>
      <c r="G18" s="62"/>
      <c r="H18" s="62"/>
      <c r="I18" s="62" t="s">
        <v>387</v>
      </c>
      <c r="J18" s="62"/>
      <c r="K18" s="62"/>
      <c r="L18" s="62" t="s">
        <v>388</v>
      </c>
      <c r="M18" s="62"/>
      <c r="N18" s="62"/>
      <c r="O18" s="62"/>
      <c r="P18" s="63" t="s">
        <v>389</v>
      </c>
      <c r="Q18" s="63" t="s">
        <v>50</v>
      </c>
      <c r="R18" s="63">
        <v>2.88</v>
      </c>
      <c r="S18" s="63" t="s">
        <v>42</v>
      </c>
      <c r="T18" s="63" t="s">
        <v>42</v>
      </c>
      <c r="U18" s="65" t="str">
        <f t="shared" si="0"/>
        <v>N/A</v>
      </c>
    </row>
    <row r="19" spans="1:22" ht="75" customHeight="1">
      <c r="A19" s="56"/>
      <c r="B19" s="61" t="s">
        <v>43</v>
      </c>
      <c r="C19" s="62" t="s">
        <v>390</v>
      </c>
      <c r="D19" s="62"/>
      <c r="E19" s="62"/>
      <c r="F19" s="62"/>
      <c r="G19" s="62"/>
      <c r="H19" s="62"/>
      <c r="I19" s="62" t="s">
        <v>391</v>
      </c>
      <c r="J19" s="62"/>
      <c r="K19" s="62"/>
      <c r="L19" s="62" t="s">
        <v>392</v>
      </c>
      <c r="M19" s="62"/>
      <c r="N19" s="62"/>
      <c r="O19" s="62"/>
      <c r="P19" s="63" t="s">
        <v>40</v>
      </c>
      <c r="Q19" s="63" t="s">
        <v>41</v>
      </c>
      <c r="R19" s="63">
        <v>18.329999999999998</v>
      </c>
      <c r="S19" s="63" t="s">
        <v>42</v>
      </c>
      <c r="T19" s="63" t="s">
        <v>42</v>
      </c>
      <c r="U19" s="65" t="str">
        <f t="shared" si="0"/>
        <v>N/A</v>
      </c>
    </row>
    <row r="20" spans="1:22" ht="75" customHeight="1" thickBot="1">
      <c r="A20" s="56"/>
      <c r="B20" s="61" t="s">
        <v>43</v>
      </c>
      <c r="C20" s="62" t="s">
        <v>393</v>
      </c>
      <c r="D20" s="62"/>
      <c r="E20" s="62"/>
      <c r="F20" s="62"/>
      <c r="G20" s="62"/>
      <c r="H20" s="62"/>
      <c r="I20" s="62" t="s">
        <v>394</v>
      </c>
      <c r="J20" s="62"/>
      <c r="K20" s="62"/>
      <c r="L20" s="62" t="s">
        <v>395</v>
      </c>
      <c r="M20" s="62"/>
      <c r="N20" s="62"/>
      <c r="O20" s="62"/>
      <c r="P20" s="63" t="s">
        <v>389</v>
      </c>
      <c r="Q20" s="63" t="s">
        <v>41</v>
      </c>
      <c r="R20" s="63">
        <v>14.52</v>
      </c>
      <c r="S20" s="63" t="s">
        <v>42</v>
      </c>
      <c r="T20" s="63" t="s">
        <v>42</v>
      </c>
      <c r="U20" s="65" t="str">
        <f t="shared" si="0"/>
        <v>N/A</v>
      </c>
    </row>
    <row r="21" spans="1:22" ht="75" customHeight="1" thickTop="1">
      <c r="A21" s="56"/>
      <c r="B21" s="57" t="s">
        <v>56</v>
      </c>
      <c r="C21" s="58" t="s">
        <v>396</v>
      </c>
      <c r="D21" s="58"/>
      <c r="E21" s="58"/>
      <c r="F21" s="58"/>
      <c r="G21" s="58"/>
      <c r="H21" s="58"/>
      <c r="I21" s="58" t="s">
        <v>397</v>
      </c>
      <c r="J21" s="58"/>
      <c r="K21" s="58"/>
      <c r="L21" s="58" t="s">
        <v>398</v>
      </c>
      <c r="M21" s="58"/>
      <c r="N21" s="58"/>
      <c r="O21" s="58"/>
      <c r="P21" s="59" t="s">
        <v>40</v>
      </c>
      <c r="Q21" s="59" t="s">
        <v>116</v>
      </c>
      <c r="R21" s="59">
        <v>67.05</v>
      </c>
      <c r="S21" s="59">
        <v>28.87</v>
      </c>
      <c r="T21" s="59">
        <v>22.32</v>
      </c>
      <c r="U21" s="60">
        <f t="shared" si="0"/>
        <v>77.312088673363348</v>
      </c>
    </row>
    <row r="22" spans="1:22" ht="75" customHeight="1">
      <c r="A22" s="56"/>
      <c r="B22" s="61" t="s">
        <v>43</v>
      </c>
      <c r="C22" s="62" t="s">
        <v>399</v>
      </c>
      <c r="D22" s="62"/>
      <c r="E22" s="62"/>
      <c r="F22" s="62"/>
      <c r="G22" s="62"/>
      <c r="H22" s="62"/>
      <c r="I22" s="62" t="s">
        <v>400</v>
      </c>
      <c r="J22" s="62"/>
      <c r="K22" s="62"/>
      <c r="L22" s="62" t="s">
        <v>401</v>
      </c>
      <c r="M22" s="62"/>
      <c r="N22" s="62"/>
      <c r="O22" s="62"/>
      <c r="P22" s="63" t="s">
        <v>297</v>
      </c>
      <c r="Q22" s="63" t="s">
        <v>106</v>
      </c>
      <c r="R22" s="63">
        <v>3.35</v>
      </c>
      <c r="S22" s="63" t="s">
        <v>42</v>
      </c>
      <c r="T22" s="63" t="s">
        <v>42</v>
      </c>
      <c r="U22" s="65" t="str">
        <f t="shared" si="0"/>
        <v>N/A</v>
      </c>
    </row>
    <row r="23" spans="1:22" ht="75" customHeight="1">
      <c r="A23" s="56"/>
      <c r="B23" s="61" t="s">
        <v>43</v>
      </c>
      <c r="C23" s="62" t="s">
        <v>402</v>
      </c>
      <c r="D23" s="62"/>
      <c r="E23" s="62"/>
      <c r="F23" s="62"/>
      <c r="G23" s="62"/>
      <c r="H23" s="62"/>
      <c r="I23" s="62" t="s">
        <v>403</v>
      </c>
      <c r="J23" s="62"/>
      <c r="K23" s="62"/>
      <c r="L23" s="62" t="s">
        <v>404</v>
      </c>
      <c r="M23" s="62"/>
      <c r="N23" s="62"/>
      <c r="O23" s="62"/>
      <c r="P23" s="63" t="s">
        <v>297</v>
      </c>
      <c r="Q23" s="63" t="s">
        <v>116</v>
      </c>
      <c r="R23" s="63">
        <v>1</v>
      </c>
      <c r="S23" s="63">
        <v>1</v>
      </c>
      <c r="T23" s="63">
        <v>1.34</v>
      </c>
      <c r="U23" s="65">
        <f t="shared" si="0"/>
        <v>134</v>
      </c>
    </row>
    <row r="24" spans="1:22" ht="75" customHeight="1">
      <c r="A24" s="56"/>
      <c r="B24" s="61" t="s">
        <v>43</v>
      </c>
      <c r="C24" s="62" t="s">
        <v>405</v>
      </c>
      <c r="D24" s="62"/>
      <c r="E24" s="62"/>
      <c r="F24" s="62"/>
      <c r="G24" s="62"/>
      <c r="H24" s="62"/>
      <c r="I24" s="62" t="s">
        <v>406</v>
      </c>
      <c r="J24" s="62"/>
      <c r="K24" s="62"/>
      <c r="L24" s="62" t="s">
        <v>407</v>
      </c>
      <c r="M24" s="62"/>
      <c r="N24" s="62"/>
      <c r="O24" s="62"/>
      <c r="P24" s="63" t="s">
        <v>297</v>
      </c>
      <c r="Q24" s="63" t="s">
        <v>212</v>
      </c>
      <c r="R24" s="63">
        <v>1</v>
      </c>
      <c r="S24" s="63">
        <v>1</v>
      </c>
      <c r="T24" s="63">
        <v>2.72</v>
      </c>
      <c r="U24" s="65">
        <f t="shared" si="0"/>
        <v>272</v>
      </c>
    </row>
    <row r="25" spans="1:22" ht="75" customHeight="1">
      <c r="A25" s="56"/>
      <c r="B25" s="61" t="s">
        <v>43</v>
      </c>
      <c r="C25" s="62" t="s">
        <v>408</v>
      </c>
      <c r="D25" s="62"/>
      <c r="E25" s="62"/>
      <c r="F25" s="62"/>
      <c r="G25" s="62"/>
      <c r="H25" s="62"/>
      <c r="I25" s="62" t="s">
        <v>409</v>
      </c>
      <c r="J25" s="62"/>
      <c r="K25" s="62"/>
      <c r="L25" s="62" t="s">
        <v>410</v>
      </c>
      <c r="M25" s="62"/>
      <c r="N25" s="62"/>
      <c r="O25" s="62"/>
      <c r="P25" s="63" t="s">
        <v>40</v>
      </c>
      <c r="Q25" s="63" t="s">
        <v>116</v>
      </c>
      <c r="R25" s="63">
        <v>100</v>
      </c>
      <c r="S25" s="63">
        <v>100</v>
      </c>
      <c r="T25" s="63">
        <v>250</v>
      </c>
      <c r="U25" s="65">
        <f t="shared" si="0"/>
        <v>250</v>
      </c>
    </row>
    <row r="26" spans="1:22" ht="75" customHeight="1">
      <c r="A26" s="56"/>
      <c r="B26" s="61" t="s">
        <v>43</v>
      </c>
      <c r="C26" s="62" t="s">
        <v>411</v>
      </c>
      <c r="D26" s="62"/>
      <c r="E26" s="62"/>
      <c r="F26" s="62"/>
      <c r="G26" s="62"/>
      <c r="H26" s="62"/>
      <c r="I26" s="62" t="s">
        <v>412</v>
      </c>
      <c r="J26" s="62"/>
      <c r="K26" s="62"/>
      <c r="L26" s="62" t="s">
        <v>413</v>
      </c>
      <c r="M26" s="62"/>
      <c r="N26" s="62"/>
      <c r="O26" s="62"/>
      <c r="P26" s="63" t="s">
        <v>40</v>
      </c>
      <c r="Q26" s="63" t="s">
        <v>414</v>
      </c>
      <c r="R26" s="63">
        <v>22.22</v>
      </c>
      <c r="S26" s="63" t="s">
        <v>42</v>
      </c>
      <c r="T26" s="63" t="s">
        <v>42</v>
      </c>
      <c r="U26" s="65" t="str">
        <f t="shared" si="0"/>
        <v>N/A</v>
      </c>
    </row>
    <row r="27" spans="1:22" ht="75" customHeight="1">
      <c r="A27" s="56"/>
      <c r="B27" s="61" t="s">
        <v>43</v>
      </c>
      <c r="C27" s="62" t="s">
        <v>43</v>
      </c>
      <c r="D27" s="62"/>
      <c r="E27" s="62"/>
      <c r="F27" s="62"/>
      <c r="G27" s="62"/>
      <c r="H27" s="62"/>
      <c r="I27" s="62" t="s">
        <v>415</v>
      </c>
      <c r="J27" s="62"/>
      <c r="K27" s="62"/>
      <c r="L27" s="62" t="s">
        <v>416</v>
      </c>
      <c r="M27" s="62"/>
      <c r="N27" s="62"/>
      <c r="O27" s="62"/>
      <c r="P27" s="63" t="s">
        <v>372</v>
      </c>
      <c r="Q27" s="63" t="s">
        <v>106</v>
      </c>
      <c r="R27" s="63">
        <v>3637313.8</v>
      </c>
      <c r="S27" s="63" t="s">
        <v>42</v>
      </c>
      <c r="T27" s="63" t="s">
        <v>42</v>
      </c>
      <c r="U27" s="65" t="str">
        <f>IF(ISERR((S27-T27)*100/S27+100),"N/A",(S27-T27)*100/S27+100)</f>
        <v>N/A</v>
      </c>
    </row>
    <row r="28" spans="1:22" ht="75" customHeight="1">
      <c r="A28" s="56"/>
      <c r="B28" s="61" t="s">
        <v>43</v>
      </c>
      <c r="C28" s="62" t="s">
        <v>417</v>
      </c>
      <c r="D28" s="62"/>
      <c r="E28" s="62"/>
      <c r="F28" s="62"/>
      <c r="G28" s="62"/>
      <c r="H28" s="62"/>
      <c r="I28" s="62" t="s">
        <v>418</v>
      </c>
      <c r="J28" s="62"/>
      <c r="K28" s="62"/>
      <c r="L28" s="62" t="s">
        <v>419</v>
      </c>
      <c r="M28" s="62"/>
      <c r="N28" s="62"/>
      <c r="O28" s="62"/>
      <c r="P28" s="63" t="s">
        <v>297</v>
      </c>
      <c r="Q28" s="63" t="s">
        <v>106</v>
      </c>
      <c r="R28" s="63">
        <v>60</v>
      </c>
      <c r="S28" s="63" t="s">
        <v>42</v>
      </c>
      <c r="T28" s="63" t="s">
        <v>42</v>
      </c>
      <c r="U28" s="65" t="str">
        <f>IF(ISERR(T28/S28*100),"N/A",T28/S28*100)</f>
        <v>N/A</v>
      </c>
    </row>
    <row r="29" spans="1:22" ht="75" customHeight="1" thickBot="1">
      <c r="A29" s="56"/>
      <c r="B29" s="61" t="s">
        <v>43</v>
      </c>
      <c r="C29" s="62" t="s">
        <v>420</v>
      </c>
      <c r="D29" s="62"/>
      <c r="E29" s="62"/>
      <c r="F29" s="62"/>
      <c r="G29" s="62"/>
      <c r="H29" s="62"/>
      <c r="I29" s="62" t="s">
        <v>421</v>
      </c>
      <c r="J29" s="62"/>
      <c r="K29" s="62"/>
      <c r="L29" s="62" t="s">
        <v>422</v>
      </c>
      <c r="M29" s="62"/>
      <c r="N29" s="62"/>
      <c r="O29" s="62"/>
      <c r="P29" s="63" t="s">
        <v>40</v>
      </c>
      <c r="Q29" s="63" t="s">
        <v>106</v>
      </c>
      <c r="R29" s="63">
        <v>52.96</v>
      </c>
      <c r="S29" s="63" t="s">
        <v>42</v>
      </c>
      <c r="T29" s="63" t="s">
        <v>42</v>
      </c>
      <c r="U29" s="65" t="str">
        <f>IF(ISERR(T29/S29*100),"N/A",T29/S29*100)</f>
        <v>N/A</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4312.581513</f>
        <v>4312.5815130000001</v>
      </c>
      <c r="S33" s="84">
        <f>4301.918676</f>
        <v>4301.9186760000002</v>
      </c>
      <c r="T33" s="84">
        <f>4877.4059803</f>
        <v>4877.4059803</v>
      </c>
      <c r="U33" s="85">
        <f>+IF(ISERR(T33/S33*100),"N/A",T33/S33*100)</f>
        <v>113.37745661047916</v>
      </c>
    </row>
    <row r="34" spans="2:21" ht="13.5" customHeight="1" thickBot="1">
      <c r="B34" s="86" t="s">
        <v>69</v>
      </c>
      <c r="C34" s="87"/>
      <c r="D34" s="87"/>
      <c r="E34" s="88"/>
      <c r="F34" s="88"/>
      <c r="G34" s="88"/>
      <c r="H34" s="89"/>
      <c r="I34" s="89"/>
      <c r="J34" s="89"/>
      <c r="K34" s="89"/>
      <c r="L34" s="89"/>
      <c r="M34" s="89"/>
      <c r="N34" s="89"/>
      <c r="O34" s="89"/>
      <c r="P34" s="90"/>
      <c r="Q34" s="90"/>
      <c r="R34" s="84">
        <f>5018.5059776</f>
        <v>5018.5059775999998</v>
      </c>
      <c r="S34" s="84">
        <f>5011.877838</f>
        <v>5011.8778380000003</v>
      </c>
      <c r="T34" s="84">
        <f>4877.4059803</f>
        <v>4877.4059803</v>
      </c>
      <c r="U34" s="85">
        <f>+IF(ISERR(T34/S34*100),"N/A",T34/S34*100)</f>
        <v>97.316936644376355</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73</v>
      </c>
      <c r="C37" s="96"/>
      <c r="D37" s="96"/>
      <c r="E37" s="96"/>
      <c r="F37" s="96"/>
      <c r="G37" s="96"/>
      <c r="H37" s="96"/>
      <c r="I37" s="96"/>
      <c r="J37" s="96"/>
      <c r="K37" s="96"/>
      <c r="L37" s="96"/>
      <c r="M37" s="96"/>
      <c r="N37" s="96"/>
      <c r="O37" s="96"/>
      <c r="P37" s="96"/>
      <c r="Q37" s="96"/>
      <c r="R37" s="96"/>
      <c r="S37" s="96"/>
      <c r="T37" s="96"/>
      <c r="U37" s="95"/>
    </row>
    <row r="38" spans="2:21" ht="34.5" customHeight="1">
      <c r="B38" s="94" t="s">
        <v>423</v>
      </c>
      <c r="C38" s="96"/>
      <c r="D38" s="96"/>
      <c r="E38" s="96"/>
      <c r="F38" s="96"/>
      <c r="G38" s="96"/>
      <c r="H38" s="96"/>
      <c r="I38" s="96"/>
      <c r="J38" s="96"/>
      <c r="K38" s="96"/>
      <c r="L38" s="96"/>
      <c r="M38" s="96"/>
      <c r="N38" s="96"/>
      <c r="O38" s="96"/>
      <c r="P38" s="96"/>
      <c r="Q38" s="96"/>
      <c r="R38" s="96"/>
      <c r="S38" s="96"/>
      <c r="T38" s="96"/>
      <c r="U38" s="95"/>
    </row>
    <row r="39" spans="2:21" ht="46.35" customHeight="1">
      <c r="B39" s="94" t="s">
        <v>424</v>
      </c>
      <c r="C39" s="96"/>
      <c r="D39" s="96"/>
      <c r="E39" s="96"/>
      <c r="F39" s="96"/>
      <c r="G39" s="96"/>
      <c r="H39" s="96"/>
      <c r="I39" s="96"/>
      <c r="J39" s="96"/>
      <c r="K39" s="96"/>
      <c r="L39" s="96"/>
      <c r="M39" s="96"/>
      <c r="N39" s="96"/>
      <c r="O39" s="96"/>
      <c r="P39" s="96"/>
      <c r="Q39" s="96"/>
      <c r="R39" s="96"/>
      <c r="S39" s="96"/>
      <c r="T39" s="96"/>
      <c r="U39" s="95"/>
    </row>
    <row r="40" spans="2:21" ht="49.7" customHeight="1">
      <c r="B40" s="94" t="s">
        <v>425</v>
      </c>
      <c r="C40" s="96"/>
      <c r="D40" s="96"/>
      <c r="E40" s="96"/>
      <c r="F40" s="96"/>
      <c r="G40" s="96"/>
      <c r="H40" s="96"/>
      <c r="I40" s="96"/>
      <c r="J40" s="96"/>
      <c r="K40" s="96"/>
      <c r="L40" s="96"/>
      <c r="M40" s="96"/>
      <c r="N40" s="96"/>
      <c r="O40" s="96"/>
      <c r="P40" s="96"/>
      <c r="Q40" s="96"/>
      <c r="R40" s="96"/>
      <c r="S40" s="96"/>
      <c r="T40" s="96"/>
      <c r="U40" s="95"/>
    </row>
    <row r="41" spans="2:21" ht="83.85" customHeight="1">
      <c r="B41" s="94" t="s">
        <v>426</v>
      </c>
      <c r="C41" s="96"/>
      <c r="D41" s="96"/>
      <c r="E41" s="96"/>
      <c r="F41" s="96"/>
      <c r="G41" s="96"/>
      <c r="H41" s="96"/>
      <c r="I41" s="96"/>
      <c r="J41" s="96"/>
      <c r="K41" s="96"/>
      <c r="L41" s="96"/>
      <c r="M41" s="96"/>
      <c r="N41" s="96"/>
      <c r="O41" s="96"/>
      <c r="P41" s="96"/>
      <c r="Q41" s="96"/>
      <c r="R41" s="96"/>
      <c r="S41" s="96"/>
      <c r="T41" s="96"/>
      <c r="U41" s="95"/>
    </row>
    <row r="42" spans="2:21" ht="73.7" customHeight="1">
      <c r="B42" s="94" t="s">
        <v>427</v>
      </c>
      <c r="C42" s="96"/>
      <c r="D42" s="96"/>
      <c r="E42" s="96"/>
      <c r="F42" s="96"/>
      <c r="G42" s="96"/>
      <c r="H42" s="96"/>
      <c r="I42" s="96"/>
      <c r="J42" s="96"/>
      <c r="K42" s="96"/>
      <c r="L42" s="96"/>
      <c r="M42" s="96"/>
      <c r="N42" s="96"/>
      <c r="O42" s="96"/>
      <c r="P42" s="96"/>
      <c r="Q42" s="96"/>
      <c r="R42" s="96"/>
      <c r="S42" s="96"/>
      <c r="T42" s="96"/>
      <c r="U42" s="95"/>
    </row>
    <row r="43" spans="2:21" ht="34.5" customHeight="1">
      <c r="B43" s="94" t="s">
        <v>428</v>
      </c>
      <c r="C43" s="96"/>
      <c r="D43" s="96"/>
      <c r="E43" s="96"/>
      <c r="F43" s="96"/>
      <c r="G43" s="96"/>
      <c r="H43" s="96"/>
      <c r="I43" s="96"/>
      <c r="J43" s="96"/>
      <c r="K43" s="96"/>
      <c r="L43" s="96"/>
      <c r="M43" s="96"/>
      <c r="N43" s="96"/>
      <c r="O43" s="96"/>
      <c r="P43" s="96"/>
      <c r="Q43" s="96"/>
      <c r="R43" s="96"/>
      <c r="S43" s="96"/>
      <c r="T43" s="96"/>
      <c r="U43" s="95"/>
    </row>
    <row r="44" spans="2:21" ht="34.5" customHeight="1">
      <c r="B44" s="94" t="s">
        <v>429</v>
      </c>
      <c r="C44" s="96"/>
      <c r="D44" s="96"/>
      <c r="E44" s="96"/>
      <c r="F44" s="96"/>
      <c r="G44" s="96"/>
      <c r="H44" s="96"/>
      <c r="I44" s="96"/>
      <c r="J44" s="96"/>
      <c r="K44" s="96"/>
      <c r="L44" s="96"/>
      <c r="M44" s="96"/>
      <c r="N44" s="96"/>
      <c r="O44" s="96"/>
      <c r="P44" s="96"/>
      <c r="Q44" s="96"/>
      <c r="R44" s="96"/>
      <c r="S44" s="96"/>
      <c r="T44" s="96"/>
      <c r="U44" s="95"/>
    </row>
    <row r="45" spans="2:21" ht="32.85" customHeight="1">
      <c r="B45" s="94" t="s">
        <v>430</v>
      </c>
      <c r="C45" s="96"/>
      <c r="D45" s="96"/>
      <c r="E45" s="96"/>
      <c r="F45" s="96"/>
      <c r="G45" s="96"/>
      <c r="H45" s="96"/>
      <c r="I45" s="96"/>
      <c r="J45" s="96"/>
      <c r="K45" s="96"/>
      <c r="L45" s="96"/>
      <c r="M45" s="96"/>
      <c r="N45" s="96"/>
      <c r="O45" s="96"/>
      <c r="P45" s="96"/>
      <c r="Q45" s="96"/>
      <c r="R45" s="96"/>
      <c r="S45" s="96"/>
      <c r="T45" s="96"/>
      <c r="U45" s="95"/>
    </row>
    <row r="46" spans="2:21" ht="34.5" customHeight="1">
      <c r="B46" s="94" t="s">
        <v>431</v>
      </c>
      <c r="C46" s="96"/>
      <c r="D46" s="96"/>
      <c r="E46" s="96"/>
      <c r="F46" s="96"/>
      <c r="G46" s="96"/>
      <c r="H46" s="96"/>
      <c r="I46" s="96"/>
      <c r="J46" s="96"/>
      <c r="K46" s="96"/>
      <c r="L46" s="96"/>
      <c r="M46" s="96"/>
      <c r="N46" s="96"/>
      <c r="O46" s="96"/>
      <c r="P46" s="96"/>
      <c r="Q46" s="96"/>
      <c r="R46" s="96"/>
      <c r="S46" s="96"/>
      <c r="T46" s="96"/>
      <c r="U46" s="95"/>
    </row>
    <row r="47" spans="2:21" ht="59.25" customHeight="1">
      <c r="B47" s="94" t="s">
        <v>432</v>
      </c>
      <c r="C47" s="96"/>
      <c r="D47" s="96"/>
      <c r="E47" s="96"/>
      <c r="F47" s="96"/>
      <c r="G47" s="96"/>
      <c r="H47" s="96"/>
      <c r="I47" s="96"/>
      <c r="J47" s="96"/>
      <c r="K47" s="96"/>
      <c r="L47" s="96"/>
      <c r="M47" s="96"/>
      <c r="N47" s="96"/>
      <c r="O47" s="96"/>
      <c r="P47" s="96"/>
      <c r="Q47" s="96"/>
      <c r="R47" s="96"/>
      <c r="S47" s="96"/>
      <c r="T47" s="96"/>
      <c r="U47" s="95"/>
    </row>
    <row r="48" spans="2:21" ht="34.5" customHeight="1">
      <c r="B48" s="94" t="s">
        <v>433</v>
      </c>
      <c r="C48" s="96"/>
      <c r="D48" s="96"/>
      <c r="E48" s="96"/>
      <c r="F48" s="96"/>
      <c r="G48" s="96"/>
      <c r="H48" s="96"/>
      <c r="I48" s="96"/>
      <c r="J48" s="96"/>
      <c r="K48" s="96"/>
      <c r="L48" s="96"/>
      <c r="M48" s="96"/>
      <c r="N48" s="96"/>
      <c r="O48" s="96"/>
      <c r="P48" s="96"/>
      <c r="Q48" s="96"/>
      <c r="R48" s="96"/>
      <c r="S48" s="96"/>
      <c r="T48" s="96"/>
      <c r="U48" s="95"/>
    </row>
    <row r="49" spans="2:21" ht="63.6" customHeight="1">
      <c r="B49" s="94" t="s">
        <v>434</v>
      </c>
      <c r="C49" s="96"/>
      <c r="D49" s="96"/>
      <c r="E49" s="96"/>
      <c r="F49" s="96"/>
      <c r="G49" s="96"/>
      <c r="H49" s="96"/>
      <c r="I49" s="96"/>
      <c r="J49" s="96"/>
      <c r="K49" s="96"/>
      <c r="L49" s="96"/>
      <c r="M49" s="96"/>
      <c r="N49" s="96"/>
      <c r="O49" s="96"/>
      <c r="P49" s="96"/>
      <c r="Q49" s="96"/>
      <c r="R49" s="96"/>
      <c r="S49" s="96"/>
      <c r="T49" s="96"/>
      <c r="U49" s="95"/>
    </row>
    <row r="50" spans="2:21" ht="61.7" customHeight="1">
      <c r="B50" s="94" t="s">
        <v>435</v>
      </c>
      <c r="C50" s="96"/>
      <c r="D50" s="96"/>
      <c r="E50" s="96"/>
      <c r="F50" s="96"/>
      <c r="G50" s="96"/>
      <c r="H50" s="96"/>
      <c r="I50" s="96"/>
      <c r="J50" s="96"/>
      <c r="K50" s="96"/>
      <c r="L50" s="96"/>
      <c r="M50" s="96"/>
      <c r="N50" s="96"/>
      <c r="O50" s="96"/>
      <c r="P50" s="96"/>
      <c r="Q50" s="96"/>
      <c r="R50" s="96"/>
      <c r="S50" s="96"/>
      <c r="T50" s="96"/>
      <c r="U50" s="95"/>
    </row>
    <row r="51" spans="2:21" ht="38.85" customHeight="1">
      <c r="B51" s="94" t="s">
        <v>436</v>
      </c>
      <c r="C51" s="96"/>
      <c r="D51" s="96"/>
      <c r="E51" s="96"/>
      <c r="F51" s="96"/>
      <c r="G51" s="96"/>
      <c r="H51" s="96"/>
      <c r="I51" s="96"/>
      <c r="J51" s="96"/>
      <c r="K51" s="96"/>
      <c r="L51" s="96"/>
      <c r="M51" s="96"/>
      <c r="N51" s="96"/>
      <c r="O51" s="96"/>
      <c r="P51" s="96"/>
      <c r="Q51" s="96"/>
      <c r="R51" s="96"/>
      <c r="S51" s="96"/>
      <c r="T51" s="96"/>
      <c r="U51" s="95"/>
    </row>
    <row r="52" spans="2:21" ht="34.5" customHeight="1">
      <c r="B52" s="94" t="s">
        <v>437</v>
      </c>
      <c r="C52" s="96"/>
      <c r="D52" s="96"/>
      <c r="E52" s="96"/>
      <c r="F52" s="96"/>
      <c r="G52" s="96"/>
      <c r="H52" s="96"/>
      <c r="I52" s="96"/>
      <c r="J52" s="96"/>
      <c r="K52" s="96"/>
      <c r="L52" s="96"/>
      <c r="M52" s="96"/>
      <c r="N52" s="96"/>
      <c r="O52" s="96"/>
      <c r="P52" s="96"/>
      <c r="Q52" s="96"/>
      <c r="R52" s="96"/>
      <c r="S52" s="96"/>
      <c r="T52" s="96"/>
      <c r="U52" s="95"/>
    </row>
    <row r="53" spans="2:21" ht="34.5" customHeight="1">
      <c r="B53" s="94" t="s">
        <v>438</v>
      </c>
      <c r="C53" s="96"/>
      <c r="D53" s="96"/>
      <c r="E53" s="96"/>
      <c r="F53" s="96"/>
      <c r="G53" s="96"/>
      <c r="H53" s="96"/>
      <c r="I53" s="96"/>
      <c r="J53" s="96"/>
      <c r="K53" s="96"/>
      <c r="L53" s="96"/>
      <c r="M53" s="96"/>
      <c r="N53" s="96"/>
      <c r="O53" s="96"/>
      <c r="P53" s="96"/>
      <c r="Q53" s="96"/>
      <c r="R53" s="96"/>
      <c r="S53" s="96"/>
      <c r="T53" s="96"/>
      <c r="U53" s="95"/>
    </row>
    <row r="54" spans="2:21" ht="34.5" customHeight="1">
      <c r="B54" s="94" t="s">
        <v>439</v>
      </c>
      <c r="C54" s="96"/>
      <c r="D54" s="96"/>
      <c r="E54" s="96"/>
      <c r="F54" s="96"/>
      <c r="G54" s="96"/>
      <c r="H54" s="96"/>
      <c r="I54" s="96"/>
      <c r="J54" s="96"/>
      <c r="K54" s="96"/>
      <c r="L54" s="96"/>
      <c r="M54" s="96"/>
      <c r="N54" s="96"/>
      <c r="O54" s="96"/>
      <c r="P54" s="96"/>
      <c r="Q54" s="96"/>
      <c r="R54" s="96"/>
      <c r="S54" s="96"/>
      <c r="T54" s="96"/>
      <c r="U54" s="95"/>
    </row>
    <row r="55" spans="2:21" ht="34.5" customHeight="1" thickBot="1">
      <c r="B55" s="97" t="s">
        <v>440</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441</v>
      </c>
      <c r="D4" s="15" t="s">
        <v>442</v>
      </c>
      <c r="E4" s="15"/>
      <c r="F4" s="15"/>
      <c r="G4" s="15"/>
      <c r="H4" s="15"/>
      <c r="I4" s="16"/>
      <c r="J4" s="17" t="s">
        <v>6</v>
      </c>
      <c r="K4" s="18" t="s">
        <v>7</v>
      </c>
      <c r="L4" s="19" t="s">
        <v>8</v>
      </c>
      <c r="M4" s="19"/>
      <c r="N4" s="19"/>
      <c r="O4" s="19"/>
      <c r="P4" s="17" t="s">
        <v>9</v>
      </c>
      <c r="Q4" s="19" t="s">
        <v>443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444</v>
      </c>
      <c r="D11" s="58"/>
      <c r="E11" s="58"/>
      <c r="F11" s="58"/>
      <c r="G11" s="58"/>
      <c r="H11" s="58"/>
      <c r="I11" s="58" t="s">
        <v>445</v>
      </c>
      <c r="J11" s="58"/>
      <c r="K11" s="58"/>
      <c r="L11" s="58" t="s">
        <v>446</v>
      </c>
      <c r="M11" s="58"/>
      <c r="N11" s="58"/>
      <c r="O11" s="58"/>
      <c r="P11" s="59" t="s">
        <v>372</v>
      </c>
      <c r="Q11" s="59" t="s">
        <v>41</v>
      </c>
      <c r="R11" s="59">
        <v>100.1</v>
      </c>
      <c r="S11" s="59" t="s">
        <v>42</v>
      </c>
      <c r="T11" s="59" t="s">
        <v>42</v>
      </c>
      <c r="U11" s="60" t="str">
        <f t="shared" ref="U11:U35" si="0">IF(ISERR(T11/S11*100),"N/A",T11/S11*100)</f>
        <v>N/A</v>
      </c>
    </row>
    <row r="12" spans="1:34" ht="75" customHeight="1" thickBot="1">
      <c r="A12" s="56"/>
      <c r="B12" s="61" t="s">
        <v>43</v>
      </c>
      <c r="C12" s="62" t="s">
        <v>43</v>
      </c>
      <c r="D12" s="62"/>
      <c r="E12" s="62"/>
      <c r="F12" s="62"/>
      <c r="G12" s="62"/>
      <c r="H12" s="62"/>
      <c r="I12" s="62" t="s">
        <v>1294</v>
      </c>
      <c r="J12" s="62"/>
      <c r="K12" s="62"/>
      <c r="L12" s="62" t="s">
        <v>44</v>
      </c>
      <c r="M12" s="62"/>
      <c r="N12" s="62"/>
      <c r="O12" s="62"/>
      <c r="P12" s="63" t="s">
        <v>45</v>
      </c>
      <c r="Q12" s="63" t="s">
        <v>41</v>
      </c>
      <c r="R12" s="64">
        <v>62944</v>
      </c>
      <c r="S12" s="64" t="s">
        <v>42</v>
      </c>
      <c r="T12" s="64" t="s">
        <v>42</v>
      </c>
      <c r="U12" s="65" t="str">
        <f t="shared" si="0"/>
        <v>N/A</v>
      </c>
    </row>
    <row r="13" spans="1:34" ht="75" customHeight="1" thickTop="1">
      <c r="A13" s="56"/>
      <c r="B13" s="57" t="s">
        <v>46</v>
      </c>
      <c r="C13" s="58" t="s">
        <v>447</v>
      </c>
      <c r="D13" s="58"/>
      <c r="E13" s="58"/>
      <c r="F13" s="58"/>
      <c r="G13" s="58"/>
      <c r="H13" s="58"/>
      <c r="I13" s="58" t="s">
        <v>448</v>
      </c>
      <c r="J13" s="58"/>
      <c r="K13" s="58"/>
      <c r="L13" s="58" t="s">
        <v>449</v>
      </c>
      <c r="M13" s="58"/>
      <c r="N13" s="58"/>
      <c r="O13" s="58"/>
      <c r="P13" s="59" t="s">
        <v>40</v>
      </c>
      <c r="Q13" s="59" t="s">
        <v>41</v>
      </c>
      <c r="R13" s="59">
        <v>101.5</v>
      </c>
      <c r="S13" s="59" t="s">
        <v>42</v>
      </c>
      <c r="T13" s="59" t="s">
        <v>42</v>
      </c>
      <c r="U13" s="60" t="str">
        <f t="shared" si="0"/>
        <v>N/A</v>
      </c>
    </row>
    <row r="14" spans="1:34" ht="75" customHeight="1" thickBot="1">
      <c r="A14" s="56"/>
      <c r="B14" s="61" t="s">
        <v>43</v>
      </c>
      <c r="C14" s="62" t="s">
        <v>43</v>
      </c>
      <c r="D14" s="62"/>
      <c r="E14" s="62"/>
      <c r="F14" s="62"/>
      <c r="G14" s="62"/>
      <c r="H14" s="62"/>
      <c r="I14" s="62" t="s">
        <v>450</v>
      </c>
      <c r="J14" s="62"/>
      <c r="K14" s="62"/>
      <c r="L14" s="62" t="s">
        <v>451</v>
      </c>
      <c r="M14" s="62"/>
      <c r="N14" s="62"/>
      <c r="O14" s="62"/>
      <c r="P14" s="63" t="s">
        <v>40</v>
      </c>
      <c r="Q14" s="63" t="s">
        <v>41</v>
      </c>
      <c r="R14" s="63">
        <v>49.85</v>
      </c>
      <c r="S14" s="63" t="s">
        <v>42</v>
      </c>
      <c r="T14" s="63" t="s">
        <v>42</v>
      </c>
      <c r="U14" s="65" t="str">
        <f t="shared" si="0"/>
        <v>N/A</v>
      </c>
    </row>
    <row r="15" spans="1:34" ht="75" customHeight="1" thickTop="1">
      <c r="A15" s="56"/>
      <c r="B15" s="57" t="s">
        <v>51</v>
      </c>
      <c r="C15" s="58" t="s">
        <v>452</v>
      </c>
      <c r="D15" s="58"/>
      <c r="E15" s="58"/>
      <c r="F15" s="58"/>
      <c r="G15" s="58"/>
      <c r="H15" s="58"/>
      <c r="I15" s="58" t="s">
        <v>453</v>
      </c>
      <c r="J15" s="58"/>
      <c r="K15" s="58"/>
      <c r="L15" s="58" t="s">
        <v>454</v>
      </c>
      <c r="M15" s="58"/>
      <c r="N15" s="58"/>
      <c r="O15" s="58"/>
      <c r="P15" s="59" t="s">
        <v>297</v>
      </c>
      <c r="Q15" s="59" t="s">
        <v>41</v>
      </c>
      <c r="R15" s="59">
        <v>37.33</v>
      </c>
      <c r="S15" s="59" t="s">
        <v>42</v>
      </c>
      <c r="T15" s="59" t="s">
        <v>42</v>
      </c>
      <c r="U15" s="60" t="str">
        <f t="shared" si="0"/>
        <v>N/A</v>
      </c>
    </row>
    <row r="16" spans="1:34" ht="75" customHeight="1">
      <c r="A16" s="56"/>
      <c r="B16" s="61" t="s">
        <v>43</v>
      </c>
      <c r="C16" s="62" t="s">
        <v>455</v>
      </c>
      <c r="D16" s="62"/>
      <c r="E16" s="62"/>
      <c r="F16" s="62"/>
      <c r="G16" s="62"/>
      <c r="H16" s="62"/>
      <c r="I16" s="62" t="s">
        <v>456</v>
      </c>
      <c r="J16" s="62"/>
      <c r="K16" s="62"/>
      <c r="L16" s="62" t="s">
        <v>457</v>
      </c>
      <c r="M16" s="62"/>
      <c r="N16" s="62"/>
      <c r="O16" s="62"/>
      <c r="P16" s="63" t="s">
        <v>40</v>
      </c>
      <c r="Q16" s="63" t="s">
        <v>41</v>
      </c>
      <c r="R16" s="63">
        <v>116.01</v>
      </c>
      <c r="S16" s="63" t="s">
        <v>42</v>
      </c>
      <c r="T16" s="63" t="s">
        <v>42</v>
      </c>
      <c r="U16" s="65" t="str">
        <f t="shared" si="0"/>
        <v>N/A</v>
      </c>
    </row>
    <row r="17" spans="1:21" ht="75" customHeight="1">
      <c r="A17" s="56"/>
      <c r="B17" s="61" t="s">
        <v>43</v>
      </c>
      <c r="C17" s="62" t="s">
        <v>458</v>
      </c>
      <c r="D17" s="62"/>
      <c r="E17" s="62"/>
      <c r="F17" s="62"/>
      <c r="G17" s="62"/>
      <c r="H17" s="62"/>
      <c r="I17" s="62" t="s">
        <v>459</v>
      </c>
      <c r="J17" s="62"/>
      <c r="K17" s="62"/>
      <c r="L17" s="62" t="s">
        <v>460</v>
      </c>
      <c r="M17" s="62"/>
      <c r="N17" s="62"/>
      <c r="O17" s="62"/>
      <c r="P17" s="63" t="s">
        <v>40</v>
      </c>
      <c r="Q17" s="63" t="s">
        <v>461</v>
      </c>
      <c r="R17" s="63">
        <v>85.02</v>
      </c>
      <c r="S17" s="63">
        <v>25.61</v>
      </c>
      <c r="T17" s="63">
        <v>44.3</v>
      </c>
      <c r="U17" s="65">
        <f t="shared" si="0"/>
        <v>172.97930495900039</v>
      </c>
    </row>
    <row r="18" spans="1:21" ht="75" customHeight="1">
      <c r="A18" s="56"/>
      <c r="B18" s="61" t="s">
        <v>43</v>
      </c>
      <c r="C18" s="62" t="s">
        <v>43</v>
      </c>
      <c r="D18" s="62"/>
      <c r="E18" s="62"/>
      <c r="F18" s="62"/>
      <c r="G18" s="62"/>
      <c r="H18" s="62"/>
      <c r="I18" s="62" t="s">
        <v>462</v>
      </c>
      <c r="J18" s="62"/>
      <c r="K18" s="62"/>
      <c r="L18" s="62" t="s">
        <v>463</v>
      </c>
      <c r="M18" s="62"/>
      <c r="N18" s="62"/>
      <c r="O18" s="62"/>
      <c r="P18" s="63" t="s">
        <v>40</v>
      </c>
      <c r="Q18" s="63" t="s">
        <v>60</v>
      </c>
      <c r="R18" s="63">
        <v>84.49</v>
      </c>
      <c r="S18" s="63">
        <v>70</v>
      </c>
      <c r="T18" s="63">
        <v>84.53</v>
      </c>
      <c r="U18" s="65">
        <f t="shared" si="0"/>
        <v>120.75714285714285</v>
      </c>
    </row>
    <row r="19" spans="1:21" ht="75" customHeight="1">
      <c r="A19" s="56"/>
      <c r="B19" s="61" t="s">
        <v>43</v>
      </c>
      <c r="C19" s="62" t="s">
        <v>464</v>
      </c>
      <c r="D19" s="62"/>
      <c r="E19" s="62"/>
      <c r="F19" s="62"/>
      <c r="G19" s="62"/>
      <c r="H19" s="62"/>
      <c r="I19" s="62" t="s">
        <v>465</v>
      </c>
      <c r="J19" s="62"/>
      <c r="K19" s="62"/>
      <c r="L19" s="62" t="s">
        <v>466</v>
      </c>
      <c r="M19" s="62"/>
      <c r="N19" s="62"/>
      <c r="O19" s="62"/>
      <c r="P19" s="63" t="s">
        <v>40</v>
      </c>
      <c r="Q19" s="63" t="s">
        <v>93</v>
      </c>
      <c r="R19" s="63">
        <v>9.09</v>
      </c>
      <c r="S19" s="63">
        <v>5.45</v>
      </c>
      <c r="T19" s="63">
        <v>0</v>
      </c>
      <c r="U19" s="65">
        <f t="shared" si="0"/>
        <v>0</v>
      </c>
    </row>
    <row r="20" spans="1:21" ht="75" customHeight="1">
      <c r="A20" s="56"/>
      <c r="B20" s="61" t="s">
        <v>43</v>
      </c>
      <c r="C20" s="62" t="s">
        <v>467</v>
      </c>
      <c r="D20" s="62"/>
      <c r="E20" s="62"/>
      <c r="F20" s="62"/>
      <c r="G20" s="62"/>
      <c r="H20" s="62"/>
      <c r="I20" s="62" t="s">
        <v>468</v>
      </c>
      <c r="J20" s="62"/>
      <c r="K20" s="62"/>
      <c r="L20" s="62" t="s">
        <v>469</v>
      </c>
      <c r="M20" s="62"/>
      <c r="N20" s="62"/>
      <c r="O20" s="62"/>
      <c r="P20" s="63" t="s">
        <v>40</v>
      </c>
      <c r="Q20" s="63" t="s">
        <v>93</v>
      </c>
      <c r="R20" s="63">
        <v>100</v>
      </c>
      <c r="S20" s="63">
        <v>33.33</v>
      </c>
      <c r="T20" s="63">
        <v>26.9</v>
      </c>
      <c r="U20" s="65">
        <f t="shared" si="0"/>
        <v>80.708070807080716</v>
      </c>
    </row>
    <row r="21" spans="1:21" ht="75" customHeight="1">
      <c r="A21" s="56"/>
      <c r="B21" s="61" t="s">
        <v>43</v>
      </c>
      <c r="C21" s="62" t="s">
        <v>470</v>
      </c>
      <c r="D21" s="62"/>
      <c r="E21" s="62"/>
      <c r="F21" s="62"/>
      <c r="G21" s="62"/>
      <c r="H21" s="62"/>
      <c r="I21" s="62" t="s">
        <v>471</v>
      </c>
      <c r="J21" s="62"/>
      <c r="K21" s="62"/>
      <c r="L21" s="62" t="s">
        <v>472</v>
      </c>
      <c r="M21" s="62"/>
      <c r="N21" s="62"/>
      <c r="O21" s="62"/>
      <c r="P21" s="63" t="s">
        <v>40</v>
      </c>
      <c r="Q21" s="63" t="s">
        <v>41</v>
      </c>
      <c r="R21" s="63">
        <v>88.7</v>
      </c>
      <c r="S21" s="63" t="s">
        <v>42</v>
      </c>
      <c r="T21" s="63" t="s">
        <v>42</v>
      </c>
      <c r="U21" s="65" t="str">
        <f t="shared" si="0"/>
        <v>N/A</v>
      </c>
    </row>
    <row r="22" spans="1:21" ht="75" customHeight="1">
      <c r="A22" s="56"/>
      <c r="B22" s="61" t="s">
        <v>43</v>
      </c>
      <c r="C22" s="62" t="s">
        <v>473</v>
      </c>
      <c r="D22" s="62"/>
      <c r="E22" s="62"/>
      <c r="F22" s="62"/>
      <c r="G22" s="62"/>
      <c r="H22" s="62"/>
      <c r="I22" s="62" t="s">
        <v>474</v>
      </c>
      <c r="J22" s="62"/>
      <c r="K22" s="62"/>
      <c r="L22" s="62" t="s">
        <v>475</v>
      </c>
      <c r="M22" s="62"/>
      <c r="N22" s="62"/>
      <c r="O22" s="62"/>
      <c r="P22" s="63" t="s">
        <v>40</v>
      </c>
      <c r="Q22" s="63" t="s">
        <v>41</v>
      </c>
      <c r="R22" s="63">
        <v>115.93</v>
      </c>
      <c r="S22" s="63" t="s">
        <v>42</v>
      </c>
      <c r="T22" s="63" t="s">
        <v>42</v>
      </c>
      <c r="U22" s="65" t="str">
        <f t="shared" si="0"/>
        <v>N/A</v>
      </c>
    </row>
    <row r="23" spans="1:21" ht="75" customHeight="1">
      <c r="A23" s="56"/>
      <c r="B23" s="61" t="s">
        <v>43</v>
      </c>
      <c r="C23" s="62" t="s">
        <v>476</v>
      </c>
      <c r="D23" s="62"/>
      <c r="E23" s="62"/>
      <c r="F23" s="62"/>
      <c r="G23" s="62"/>
      <c r="H23" s="62"/>
      <c r="I23" s="62" t="s">
        <v>477</v>
      </c>
      <c r="J23" s="62"/>
      <c r="K23" s="62"/>
      <c r="L23" s="62" t="s">
        <v>478</v>
      </c>
      <c r="M23" s="62"/>
      <c r="N23" s="62"/>
      <c r="O23" s="62"/>
      <c r="P23" s="63" t="s">
        <v>40</v>
      </c>
      <c r="Q23" s="63" t="s">
        <v>116</v>
      </c>
      <c r="R23" s="63">
        <v>57.02</v>
      </c>
      <c r="S23" s="63">
        <v>45.02</v>
      </c>
      <c r="T23" s="63">
        <v>45.02</v>
      </c>
      <c r="U23" s="65">
        <f t="shared" si="0"/>
        <v>100</v>
      </c>
    </row>
    <row r="24" spans="1:21" ht="75" customHeight="1" thickBot="1">
      <c r="A24" s="56"/>
      <c r="B24" s="61" t="s">
        <v>43</v>
      </c>
      <c r="C24" s="62" t="s">
        <v>479</v>
      </c>
      <c r="D24" s="62"/>
      <c r="E24" s="62"/>
      <c r="F24" s="62"/>
      <c r="G24" s="62"/>
      <c r="H24" s="62"/>
      <c r="I24" s="62" t="s">
        <v>480</v>
      </c>
      <c r="J24" s="62"/>
      <c r="K24" s="62"/>
      <c r="L24" s="62" t="s">
        <v>481</v>
      </c>
      <c r="M24" s="62"/>
      <c r="N24" s="62"/>
      <c r="O24" s="62"/>
      <c r="P24" s="63" t="s">
        <v>40</v>
      </c>
      <c r="Q24" s="63" t="s">
        <v>116</v>
      </c>
      <c r="R24" s="63">
        <v>47.01</v>
      </c>
      <c r="S24" s="63">
        <v>35.590000000000003</v>
      </c>
      <c r="T24" s="63">
        <v>35.590000000000003</v>
      </c>
      <c r="U24" s="65">
        <f t="shared" si="0"/>
        <v>100</v>
      </c>
    </row>
    <row r="25" spans="1:21" ht="75" customHeight="1" thickTop="1">
      <c r="A25" s="56"/>
      <c r="B25" s="57" t="s">
        <v>56</v>
      </c>
      <c r="C25" s="58" t="s">
        <v>482</v>
      </c>
      <c r="D25" s="58"/>
      <c r="E25" s="58"/>
      <c r="F25" s="58"/>
      <c r="G25" s="58"/>
      <c r="H25" s="58"/>
      <c r="I25" s="58" t="s">
        <v>483</v>
      </c>
      <c r="J25" s="58"/>
      <c r="K25" s="58"/>
      <c r="L25" s="58" t="s">
        <v>484</v>
      </c>
      <c r="M25" s="58"/>
      <c r="N25" s="58"/>
      <c r="O25" s="58"/>
      <c r="P25" s="59" t="s">
        <v>40</v>
      </c>
      <c r="Q25" s="59" t="s">
        <v>116</v>
      </c>
      <c r="R25" s="59">
        <v>90.09</v>
      </c>
      <c r="S25" s="59">
        <v>5.96</v>
      </c>
      <c r="T25" s="59">
        <v>7.56</v>
      </c>
      <c r="U25" s="60">
        <f t="shared" si="0"/>
        <v>126.8456375838926</v>
      </c>
    </row>
    <row r="26" spans="1:21" ht="75" customHeight="1">
      <c r="A26" s="56"/>
      <c r="B26" s="61" t="s">
        <v>43</v>
      </c>
      <c r="C26" s="62" t="s">
        <v>485</v>
      </c>
      <c r="D26" s="62"/>
      <c r="E26" s="62"/>
      <c r="F26" s="62"/>
      <c r="G26" s="62"/>
      <c r="H26" s="62"/>
      <c r="I26" s="62" t="s">
        <v>486</v>
      </c>
      <c r="J26" s="62"/>
      <c r="K26" s="62"/>
      <c r="L26" s="62" t="s">
        <v>487</v>
      </c>
      <c r="M26" s="62"/>
      <c r="N26" s="62"/>
      <c r="O26" s="62"/>
      <c r="P26" s="63" t="s">
        <v>40</v>
      </c>
      <c r="Q26" s="63" t="s">
        <v>116</v>
      </c>
      <c r="R26" s="63">
        <v>100</v>
      </c>
      <c r="S26" s="63">
        <v>17.86</v>
      </c>
      <c r="T26" s="63">
        <v>26.9</v>
      </c>
      <c r="U26" s="65">
        <f t="shared" si="0"/>
        <v>150.61590145576707</v>
      </c>
    </row>
    <row r="27" spans="1:21" ht="75" customHeight="1">
      <c r="A27" s="56"/>
      <c r="B27" s="61" t="s">
        <v>43</v>
      </c>
      <c r="C27" s="62" t="s">
        <v>488</v>
      </c>
      <c r="D27" s="62"/>
      <c r="E27" s="62"/>
      <c r="F27" s="62"/>
      <c r="G27" s="62"/>
      <c r="H27" s="62"/>
      <c r="I27" s="62" t="s">
        <v>489</v>
      </c>
      <c r="J27" s="62"/>
      <c r="K27" s="62"/>
      <c r="L27" s="62" t="s">
        <v>490</v>
      </c>
      <c r="M27" s="62"/>
      <c r="N27" s="62"/>
      <c r="O27" s="62"/>
      <c r="P27" s="63" t="s">
        <v>40</v>
      </c>
      <c r="Q27" s="63" t="s">
        <v>60</v>
      </c>
      <c r="R27" s="63">
        <v>29.63</v>
      </c>
      <c r="S27" s="63">
        <v>8.33</v>
      </c>
      <c r="T27" s="63">
        <v>55.75</v>
      </c>
      <c r="U27" s="65">
        <f t="shared" si="0"/>
        <v>669.26770708283311</v>
      </c>
    </row>
    <row r="28" spans="1:21" ht="75" customHeight="1">
      <c r="A28" s="56"/>
      <c r="B28" s="61" t="s">
        <v>43</v>
      </c>
      <c r="C28" s="62" t="s">
        <v>491</v>
      </c>
      <c r="D28" s="62"/>
      <c r="E28" s="62"/>
      <c r="F28" s="62"/>
      <c r="G28" s="62"/>
      <c r="H28" s="62"/>
      <c r="I28" s="62" t="s">
        <v>492</v>
      </c>
      <c r="J28" s="62"/>
      <c r="K28" s="62"/>
      <c r="L28" s="62" t="s">
        <v>493</v>
      </c>
      <c r="M28" s="62"/>
      <c r="N28" s="62"/>
      <c r="O28" s="62"/>
      <c r="P28" s="63" t="s">
        <v>40</v>
      </c>
      <c r="Q28" s="63" t="s">
        <v>60</v>
      </c>
      <c r="R28" s="63">
        <v>40</v>
      </c>
      <c r="S28" s="63">
        <v>6.67</v>
      </c>
      <c r="T28" s="63">
        <v>17.59</v>
      </c>
      <c r="U28" s="65">
        <f t="shared" si="0"/>
        <v>263.71814092953525</v>
      </c>
    </row>
    <row r="29" spans="1:21" ht="75" customHeight="1">
      <c r="A29" s="56"/>
      <c r="B29" s="61" t="s">
        <v>43</v>
      </c>
      <c r="C29" s="62" t="s">
        <v>494</v>
      </c>
      <c r="D29" s="62"/>
      <c r="E29" s="62"/>
      <c r="F29" s="62"/>
      <c r="G29" s="62"/>
      <c r="H29" s="62"/>
      <c r="I29" s="62" t="s">
        <v>495</v>
      </c>
      <c r="J29" s="62"/>
      <c r="K29" s="62"/>
      <c r="L29" s="62" t="s">
        <v>496</v>
      </c>
      <c r="M29" s="62"/>
      <c r="N29" s="62"/>
      <c r="O29" s="62"/>
      <c r="P29" s="63" t="s">
        <v>40</v>
      </c>
      <c r="Q29" s="63" t="s">
        <v>106</v>
      </c>
      <c r="R29" s="63">
        <v>41.87</v>
      </c>
      <c r="S29" s="63" t="s">
        <v>42</v>
      </c>
      <c r="T29" s="63" t="s">
        <v>42</v>
      </c>
      <c r="U29" s="65" t="str">
        <f t="shared" si="0"/>
        <v>N/A</v>
      </c>
    </row>
    <row r="30" spans="1:21" ht="75" customHeight="1">
      <c r="A30" s="56"/>
      <c r="B30" s="61" t="s">
        <v>43</v>
      </c>
      <c r="C30" s="62" t="s">
        <v>497</v>
      </c>
      <c r="D30" s="62"/>
      <c r="E30" s="62"/>
      <c r="F30" s="62"/>
      <c r="G30" s="62"/>
      <c r="H30" s="62"/>
      <c r="I30" s="62" t="s">
        <v>498</v>
      </c>
      <c r="J30" s="62"/>
      <c r="K30" s="62"/>
      <c r="L30" s="62" t="s">
        <v>499</v>
      </c>
      <c r="M30" s="62"/>
      <c r="N30" s="62"/>
      <c r="O30" s="62"/>
      <c r="P30" s="63" t="s">
        <v>40</v>
      </c>
      <c r="Q30" s="63" t="s">
        <v>60</v>
      </c>
      <c r="R30" s="63">
        <v>40</v>
      </c>
      <c r="S30" s="63">
        <v>68</v>
      </c>
      <c r="T30" s="63">
        <v>27.11</v>
      </c>
      <c r="U30" s="65">
        <f t="shared" si="0"/>
        <v>39.867647058823529</v>
      </c>
    </row>
    <row r="31" spans="1:21" ht="75" customHeight="1">
      <c r="A31" s="56"/>
      <c r="B31" s="61" t="s">
        <v>43</v>
      </c>
      <c r="C31" s="62" t="s">
        <v>500</v>
      </c>
      <c r="D31" s="62"/>
      <c r="E31" s="62"/>
      <c r="F31" s="62"/>
      <c r="G31" s="62"/>
      <c r="H31" s="62"/>
      <c r="I31" s="62" t="s">
        <v>501</v>
      </c>
      <c r="J31" s="62"/>
      <c r="K31" s="62"/>
      <c r="L31" s="62" t="s">
        <v>502</v>
      </c>
      <c r="M31" s="62"/>
      <c r="N31" s="62"/>
      <c r="O31" s="62"/>
      <c r="P31" s="63" t="s">
        <v>40</v>
      </c>
      <c r="Q31" s="63" t="s">
        <v>106</v>
      </c>
      <c r="R31" s="63">
        <v>100</v>
      </c>
      <c r="S31" s="63" t="s">
        <v>42</v>
      </c>
      <c r="T31" s="63" t="s">
        <v>42</v>
      </c>
      <c r="U31" s="65" t="str">
        <f t="shared" si="0"/>
        <v>N/A</v>
      </c>
    </row>
    <row r="32" spans="1:21" ht="75" customHeight="1">
      <c r="A32" s="56"/>
      <c r="B32" s="61" t="s">
        <v>43</v>
      </c>
      <c r="C32" s="62" t="s">
        <v>503</v>
      </c>
      <c r="D32" s="62"/>
      <c r="E32" s="62"/>
      <c r="F32" s="62"/>
      <c r="G32" s="62"/>
      <c r="H32" s="62"/>
      <c r="I32" s="62" t="s">
        <v>504</v>
      </c>
      <c r="J32" s="62"/>
      <c r="K32" s="62"/>
      <c r="L32" s="62" t="s">
        <v>505</v>
      </c>
      <c r="M32" s="62"/>
      <c r="N32" s="62"/>
      <c r="O32" s="62"/>
      <c r="P32" s="63" t="s">
        <v>40</v>
      </c>
      <c r="Q32" s="63" t="s">
        <v>60</v>
      </c>
      <c r="R32" s="63">
        <v>38.69</v>
      </c>
      <c r="S32" s="63">
        <v>62.3</v>
      </c>
      <c r="T32" s="63">
        <v>30.06</v>
      </c>
      <c r="U32" s="65">
        <f t="shared" si="0"/>
        <v>48.250401284109152</v>
      </c>
    </row>
    <row r="33" spans="1:22" ht="75" customHeight="1">
      <c r="A33" s="56"/>
      <c r="B33" s="61" t="s">
        <v>43</v>
      </c>
      <c r="C33" s="62" t="s">
        <v>506</v>
      </c>
      <c r="D33" s="62"/>
      <c r="E33" s="62"/>
      <c r="F33" s="62"/>
      <c r="G33" s="62"/>
      <c r="H33" s="62"/>
      <c r="I33" s="62" t="s">
        <v>507</v>
      </c>
      <c r="J33" s="62"/>
      <c r="K33" s="62"/>
      <c r="L33" s="62" t="s">
        <v>508</v>
      </c>
      <c r="M33" s="62"/>
      <c r="N33" s="62"/>
      <c r="O33" s="62"/>
      <c r="P33" s="63" t="s">
        <v>40</v>
      </c>
      <c r="Q33" s="63" t="s">
        <v>60</v>
      </c>
      <c r="R33" s="63">
        <v>54.55</v>
      </c>
      <c r="S33" s="63">
        <v>90</v>
      </c>
      <c r="T33" s="63">
        <v>31.82</v>
      </c>
      <c r="U33" s="65">
        <f t="shared" si="0"/>
        <v>35.355555555555554</v>
      </c>
    </row>
    <row r="34" spans="1:22" ht="75" customHeight="1">
      <c r="A34" s="56"/>
      <c r="B34" s="61" t="s">
        <v>43</v>
      </c>
      <c r="C34" s="62" t="s">
        <v>509</v>
      </c>
      <c r="D34" s="62"/>
      <c r="E34" s="62"/>
      <c r="F34" s="62"/>
      <c r="G34" s="62"/>
      <c r="H34" s="62"/>
      <c r="I34" s="62" t="s">
        <v>510</v>
      </c>
      <c r="J34" s="62"/>
      <c r="K34" s="62"/>
      <c r="L34" s="62" t="s">
        <v>511</v>
      </c>
      <c r="M34" s="62"/>
      <c r="N34" s="62"/>
      <c r="O34" s="62"/>
      <c r="P34" s="63" t="s">
        <v>40</v>
      </c>
      <c r="Q34" s="63" t="s">
        <v>116</v>
      </c>
      <c r="R34" s="63">
        <v>100</v>
      </c>
      <c r="S34" s="63">
        <v>5.45</v>
      </c>
      <c r="T34" s="63">
        <v>0</v>
      </c>
      <c r="U34" s="65">
        <f t="shared" si="0"/>
        <v>0</v>
      </c>
    </row>
    <row r="35" spans="1:22" ht="75" customHeight="1" thickBot="1">
      <c r="A35" s="56"/>
      <c r="B35" s="61" t="s">
        <v>43</v>
      </c>
      <c r="C35" s="62" t="s">
        <v>512</v>
      </c>
      <c r="D35" s="62"/>
      <c r="E35" s="62"/>
      <c r="F35" s="62"/>
      <c r="G35" s="62"/>
      <c r="H35" s="62"/>
      <c r="I35" s="62" t="s">
        <v>513</v>
      </c>
      <c r="J35" s="62"/>
      <c r="K35" s="62"/>
      <c r="L35" s="62" t="s">
        <v>514</v>
      </c>
      <c r="M35" s="62"/>
      <c r="N35" s="62"/>
      <c r="O35" s="62"/>
      <c r="P35" s="63" t="s">
        <v>40</v>
      </c>
      <c r="Q35" s="63" t="s">
        <v>60</v>
      </c>
      <c r="R35" s="63">
        <v>100</v>
      </c>
      <c r="S35" s="63">
        <v>100</v>
      </c>
      <c r="T35" s="63">
        <v>99.91</v>
      </c>
      <c r="U35" s="65">
        <f t="shared" si="0"/>
        <v>99.91</v>
      </c>
    </row>
    <row r="36" spans="1:22" ht="22.5" customHeight="1" thickTop="1" thickBot="1">
      <c r="B36" s="9" t="s">
        <v>61</v>
      </c>
      <c r="C36" s="10"/>
      <c r="D36" s="10"/>
      <c r="E36" s="10"/>
      <c r="F36" s="10"/>
      <c r="G36" s="10"/>
      <c r="H36" s="11"/>
      <c r="I36" s="11"/>
      <c r="J36" s="11"/>
      <c r="K36" s="11"/>
      <c r="L36" s="11"/>
      <c r="M36" s="11"/>
      <c r="N36" s="11"/>
      <c r="O36" s="11"/>
      <c r="P36" s="11"/>
      <c r="Q36" s="11"/>
      <c r="R36" s="11"/>
      <c r="S36" s="11"/>
      <c r="T36" s="11"/>
      <c r="U36" s="12"/>
      <c r="V36" s="66"/>
    </row>
    <row r="37" spans="1:22" ht="26.25" customHeight="1" thickTop="1">
      <c r="B37" s="67"/>
      <c r="C37" s="68"/>
      <c r="D37" s="68"/>
      <c r="E37" s="68"/>
      <c r="F37" s="68"/>
      <c r="G37" s="68"/>
      <c r="H37" s="69"/>
      <c r="I37" s="69"/>
      <c r="J37" s="69"/>
      <c r="K37" s="69"/>
      <c r="L37" s="69"/>
      <c r="M37" s="69"/>
      <c r="N37" s="69"/>
      <c r="O37" s="69"/>
      <c r="P37" s="70"/>
      <c r="Q37" s="71"/>
      <c r="R37" s="72" t="s">
        <v>62</v>
      </c>
      <c r="S37" s="40" t="s">
        <v>63</v>
      </c>
      <c r="T37" s="72" t="s">
        <v>64</v>
      </c>
      <c r="U37" s="40" t="s">
        <v>65</v>
      </c>
    </row>
    <row r="38" spans="1:22" ht="26.25" customHeight="1" thickBot="1">
      <c r="B38" s="73"/>
      <c r="C38" s="74"/>
      <c r="D38" s="74"/>
      <c r="E38" s="74"/>
      <c r="F38" s="74"/>
      <c r="G38" s="74"/>
      <c r="H38" s="75"/>
      <c r="I38" s="75"/>
      <c r="J38" s="75"/>
      <c r="K38" s="75"/>
      <c r="L38" s="75"/>
      <c r="M38" s="75"/>
      <c r="N38" s="75"/>
      <c r="O38" s="75"/>
      <c r="P38" s="76"/>
      <c r="Q38" s="77"/>
      <c r="R38" s="78" t="s">
        <v>66</v>
      </c>
      <c r="S38" s="77" t="s">
        <v>66</v>
      </c>
      <c r="T38" s="77" t="s">
        <v>66</v>
      </c>
      <c r="U38" s="77" t="s">
        <v>67</v>
      </c>
    </row>
    <row r="39" spans="1:22" ht="13.5" customHeight="1" thickBot="1">
      <c r="B39" s="79" t="s">
        <v>68</v>
      </c>
      <c r="C39" s="80"/>
      <c r="D39" s="80"/>
      <c r="E39" s="81"/>
      <c r="F39" s="81"/>
      <c r="G39" s="81"/>
      <c r="H39" s="82"/>
      <c r="I39" s="82"/>
      <c r="J39" s="82"/>
      <c r="K39" s="82"/>
      <c r="L39" s="82"/>
      <c r="M39" s="82"/>
      <c r="N39" s="82"/>
      <c r="O39" s="82"/>
      <c r="P39" s="83"/>
      <c r="Q39" s="83"/>
      <c r="R39" s="84">
        <f>16580.082891</f>
        <v>16580.082890999998</v>
      </c>
      <c r="S39" s="84">
        <f>16055.59755</f>
        <v>16055.59755</v>
      </c>
      <c r="T39" s="84">
        <f>16143.73849911</f>
        <v>16143.738499110001</v>
      </c>
      <c r="U39" s="85">
        <f>+IF(ISERR(T39/S39*100),"N/A",T39/S39*100)</f>
        <v>100.54897333366455</v>
      </c>
    </row>
    <row r="40" spans="1:22" ht="13.5" customHeight="1" thickBot="1">
      <c r="B40" s="86" t="s">
        <v>69</v>
      </c>
      <c r="C40" s="87"/>
      <c r="D40" s="87"/>
      <c r="E40" s="88"/>
      <c r="F40" s="88"/>
      <c r="G40" s="88"/>
      <c r="H40" s="89"/>
      <c r="I40" s="89"/>
      <c r="J40" s="89"/>
      <c r="K40" s="89"/>
      <c r="L40" s="89"/>
      <c r="M40" s="89"/>
      <c r="N40" s="89"/>
      <c r="O40" s="89"/>
      <c r="P40" s="90"/>
      <c r="Q40" s="90"/>
      <c r="R40" s="84">
        <f>16505.74181733</f>
        <v>16505.741817329999</v>
      </c>
      <c r="S40" s="84">
        <f>16467.38904186</f>
        <v>16467.389041859999</v>
      </c>
      <c r="T40" s="84">
        <f>16143.73849911</f>
        <v>16143.738499110001</v>
      </c>
      <c r="U40" s="85">
        <f>+IF(ISERR(T40/S40*100),"N/A",T40/S40*100)</f>
        <v>98.03459709412779</v>
      </c>
    </row>
    <row r="41" spans="1:22" ht="14.85" customHeight="1" thickTop="1" thickBot="1">
      <c r="B41" s="9" t="s">
        <v>70</v>
      </c>
      <c r="C41" s="10"/>
      <c r="D41" s="10"/>
      <c r="E41" s="10"/>
      <c r="F41" s="10"/>
      <c r="G41" s="10"/>
      <c r="H41" s="11"/>
      <c r="I41" s="11"/>
      <c r="J41" s="11"/>
      <c r="K41" s="11"/>
      <c r="L41" s="11"/>
      <c r="M41" s="11"/>
      <c r="N41" s="11"/>
      <c r="O41" s="11"/>
      <c r="P41" s="11"/>
      <c r="Q41" s="11"/>
      <c r="R41" s="11"/>
      <c r="S41" s="11"/>
      <c r="T41" s="11"/>
      <c r="U41" s="12"/>
    </row>
    <row r="42" spans="1:22" ht="44.25" customHeight="1" thickTop="1">
      <c r="B42" s="91" t="s">
        <v>71</v>
      </c>
      <c r="C42" s="93"/>
      <c r="D42" s="93"/>
      <c r="E42" s="93"/>
      <c r="F42" s="93"/>
      <c r="G42" s="93"/>
      <c r="H42" s="93"/>
      <c r="I42" s="93"/>
      <c r="J42" s="93"/>
      <c r="K42" s="93"/>
      <c r="L42" s="93"/>
      <c r="M42" s="93"/>
      <c r="N42" s="93"/>
      <c r="O42" s="93"/>
      <c r="P42" s="93"/>
      <c r="Q42" s="93"/>
      <c r="R42" s="93"/>
      <c r="S42" s="93"/>
      <c r="T42" s="93"/>
      <c r="U42" s="92"/>
    </row>
    <row r="43" spans="1:22" ht="34.5" customHeight="1">
      <c r="B43" s="94" t="s">
        <v>515</v>
      </c>
      <c r="C43" s="96"/>
      <c r="D43" s="96"/>
      <c r="E43" s="96"/>
      <c r="F43" s="96"/>
      <c r="G43" s="96"/>
      <c r="H43" s="96"/>
      <c r="I43" s="96"/>
      <c r="J43" s="96"/>
      <c r="K43" s="96"/>
      <c r="L43" s="96"/>
      <c r="M43" s="96"/>
      <c r="N43" s="96"/>
      <c r="O43" s="96"/>
      <c r="P43" s="96"/>
      <c r="Q43" s="96"/>
      <c r="R43" s="96"/>
      <c r="S43" s="96"/>
      <c r="T43" s="96"/>
      <c r="U43" s="95"/>
    </row>
    <row r="44" spans="1:22" ht="34.5" customHeight="1">
      <c r="B44" s="94" t="s">
        <v>73</v>
      </c>
      <c r="C44" s="96"/>
      <c r="D44" s="96"/>
      <c r="E44" s="96"/>
      <c r="F44" s="96"/>
      <c r="G44" s="96"/>
      <c r="H44" s="96"/>
      <c r="I44" s="96"/>
      <c r="J44" s="96"/>
      <c r="K44" s="96"/>
      <c r="L44" s="96"/>
      <c r="M44" s="96"/>
      <c r="N44" s="96"/>
      <c r="O44" s="96"/>
      <c r="P44" s="96"/>
      <c r="Q44" s="96"/>
      <c r="R44" s="96"/>
      <c r="S44" s="96"/>
      <c r="T44" s="96"/>
      <c r="U44" s="95"/>
    </row>
    <row r="45" spans="1:22" ht="34.5" customHeight="1">
      <c r="B45" s="94" t="s">
        <v>516</v>
      </c>
      <c r="C45" s="96"/>
      <c r="D45" s="96"/>
      <c r="E45" s="96"/>
      <c r="F45" s="96"/>
      <c r="G45" s="96"/>
      <c r="H45" s="96"/>
      <c r="I45" s="96"/>
      <c r="J45" s="96"/>
      <c r="K45" s="96"/>
      <c r="L45" s="96"/>
      <c r="M45" s="96"/>
      <c r="N45" s="96"/>
      <c r="O45" s="96"/>
      <c r="P45" s="96"/>
      <c r="Q45" s="96"/>
      <c r="R45" s="96"/>
      <c r="S45" s="96"/>
      <c r="T45" s="96"/>
      <c r="U45" s="95"/>
    </row>
    <row r="46" spans="1:22" ht="34.5" customHeight="1">
      <c r="B46" s="94" t="s">
        <v>517</v>
      </c>
      <c r="C46" s="96"/>
      <c r="D46" s="96"/>
      <c r="E46" s="96"/>
      <c r="F46" s="96"/>
      <c r="G46" s="96"/>
      <c r="H46" s="96"/>
      <c r="I46" s="96"/>
      <c r="J46" s="96"/>
      <c r="K46" s="96"/>
      <c r="L46" s="96"/>
      <c r="M46" s="96"/>
      <c r="N46" s="96"/>
      <c r="O46" s="96"/>
      <c r="P46" s="96"/>
      <c r="Q46" s="96"/>
      <c r="R46" s="96"/>
      <c r="S46" s="96"/>
      <c r="T46" s="96"/>
      <c r="U46" s="95"/>
    </row>
    <row r="47" spans="1:22" ht="34.5" customHeight="1">
      <c r="B47" s="94" t="s">
        <v>518</v>
      </c>
      <c r="C47" s="96"/>
      <c r="D47" s="96"/>
      <c r="E47" s="96"/>
      <c r="F47" s="96"/>
      <c r="G47" s="96"/>
      <c r="H47" s="96"/>
      <c r="I47" s="96"/>
      <c r="J47" s="96"/>
      <c r="K47" s="96"/>
      <c r="L47" s="96"/>
      <c r="M47" s="96"/>
      <c r="N47" s="96"/>
      <c r="O47" s="96"/>
      <c r="P47" s="96"/>
      <c r="Q47" s="96"/>
      <c r="R47" s="96"/>
      <c r="S47" s="96"/>
      <c r="T47" s="96"/>
      <c r="U47" s="95"/>
    </row>
    <row r="48" spans="1:22" ht="34.5" customHeight="1">
      <c r="B48" s="94" t="s">
        <v>519</v>
      </c>
      <c r="C48" s="96"/>
      <c r="D48" s="96"/>
      <c r="E48" s="96"/>
      <c r="F48" s="96"/>
      <c r="G48" s="96"/>
      <c r="H48" s="96"/>
      <c r="I48" s="96"/>
      <c r="J48" s="96"/>
      <c r="K48" s="96"/>
      <c r="L48" s="96"/>
      <c r="M48" s="96"/>
      <c r="N48" s="96"/>
      <c r="O48" s="96"/>
      <c r="P48" s="96"/>
      <c r="Q48" s="96"/>
      <c r="R48" s="96"/>
      <c r="S48" s="96"/>
      <c r="T48" s="96"/>
      <c r="U48" s="95"/>
    </row>
    <row r="49" spans="2:21" ht="135" customHeight="1">
      <c r="B49" s="94" t="s">
        <v>520</v>
      </c>
      <c r="C49" s="96"/>
      <c r="D49" s="96"/>
      <c r="E49" s="96"/>
      <c r="F49" s="96"/>
      <c r="G49" s="96"/>
      <c r="H49" s="96"/>
      <c r="I49" s="96"/>
      <c r="J49" s="96"/>
      <c r="K49" s="96"/>
      <c r="L49" s="96"/>
      <c r="M49" s="96"/>
      <c r="N49" s="96"/>
      <c r="O49" s="96"/>
      <c r="P49" s="96"/>
      <c r="Q49" s="96"/>
      <c r="R49" s="96"/>
      <c r="S49" s="96"/>
      <c r="T49" s="96"/>
      <c r="U49" s="95"/>
    </row>
    <row r="50" spans="2:21" ht="116.85" customHeight="1">
      <c r="B50" s="94" t="s">
        <v>521</v>
      </c>
      <c r="C50" s="96"/>
      <c r="D50" s="96"/>
      <c r="E50" s="96"/>
      <c r="F50" s="96"/>
      <c r="G50" s="96"/>
      <c r="H50" s="96"/>
      <c r="I50" s="96"/>
      <c r="J50" s="96"/>
      <c r="K50" s="96"/>
      <c r="L50" s="96"/>
      <c r="M50" s="96"/>
      <c r="N50" s="96"/>
      <c r="O50" s="96"/>
      <c r="P50" s="96"/>
      <c r="Q50" s="96"/>
      <c r="R50" s="96"/>
      <c r="S50" s="96"/>
      <c r="T50" s="96"/>
      <c r="U50" s="95"/>
    </row>
    <row r="51" spans="2:21" ht="100.5" customHeight="1">
      <c r="B51" s="94" t="s">
        <v>522</v>
      </c>
      <c r="C51" s="96"/>
      <c r="D51" s="96"/>
      <c r="E51" s="96"/>
      <c r="F51" s="96"/>
      <c r="G51" s="96"/>
      <c r="H51" s="96"/>
      <c r="I51" s="96"/>
      <c r="J51" s="96"/>
      <c r="K51" s="96"/>
      <c r="L51" s="96"/>
      <c r="M51" s="96"/>
      <c r="N51" s="96"/>
      <c r="O51" s="96"/>
      <c r="P51" s="96"/>
      <c r="Q51" s="96"/>
      <c r="R51" s="96"/>
      <c r="S51" s="96"/>
      <c r="T51" s="96"/>
      <c r="U51" s="95"/>
    </row>
    <row r="52" spans="2:21" ht="53.1" customHeight="1">
      <c r="B52" s="94" t="s">
        <v>523</v>
      </c>
      <c r="C52" s="96"/>
      <c r="D52" s="96"/>
      <c r="E52" s="96"/>
      <c r="F52" s="96"/>
      <c r="G52" s="96"/>
      <c r="H52" s="96"/>
      <c r="I52" s="96"/>
      <c r="J52" s="96"/>
      <c r="K52" s="96"/>
      <c r="L52" s="96"/>
      <c r="M52" s="96"/>
      <c r="N52" s="96"/>
      <c r="O52" s="96"/>
      <c r="P52" s="96"/>
      <c r="Q52" s="96"/>
      <c r="R52" s="96"/>
      <c r="S52" s="96"/>
      <c r="T52" s="96"/>
      <c r="U52" s="95"/>
    </row>
    <row r="53" spans="2:21" ht="34.5" customHeight="1">
      <c r="B53" s="94" t="s">
        <v>524</v>
      </c>
      <c r="C53" s="96"/>
      <c r="D53" s="96"/>
      <c r="E53" s="96"/>
      <c r="F53" s="96"/>
      <c r="G53" s="96"/>
      <c r="H53" s="96"/>
      <c r="I53" s="96"/>
      <c r="J53" s="96"/>
      <c r="K53" s="96"/>
      <c r="L53" s="96"/>
      <c r="M53" s="96"/>
      <c r="N53" s="96"/>
      <c r="O53" s="96"/>
      <c r="P53" s="96"/>
      <c r="Q53" s="96"/>
      <c r="R53" s="96"/>
      <c r="S53" s="96"/>
      <c r="T53" s="96"/>
      <c r="U53" s="95"/>
    </row>
    <row r="54" spans="2:21" ht="34.5" customHeight="1">
      <c r="B54" s="94" t="s">
        <v>525</v>
      </c>
      <c r="C54" s="96"/>
      <c r="D54" s="96"/>
      <c r="E54" s="96"/>
      <c r="F54" s="96"/>
      <c r="G54" s="96"/>
      <c r="H54" s="96"/>
      <c r="I54" s="96"/>
      <c r="J54" s="96"/>
      <c r="K54" s="96"/>
      <c r="L54" s="96"/>
      <c r="M54" s="96"/>
      <c r="N54" s="96"/>
      <c r="O54" s="96"/>
      <c r="P54" s="96"/>
      <c r="Q54" s="96"/>
      <c r="R54" s="96"/>
      <c r="S54" s="96"/>
      <c r="T54" s="96"/>
      <c r="U54" s="95"/>
    </row>
    <row r="55" spans="2:21" ht="24.95" customHeight="1">
      <c r="B55" s="94" t="s">
        <v>526</v>
      </c>
      <c r="C55" s="96"/>
      <c r="D55" s="96"/>
      <c r="E55" s="96"/>
      <c r="F55" s="96"/>
      <c r="G55" s="96"/>
      <c r="H55" s="96"/>
      <c r="I55" s="96"/>
      <c r="J55" s="96"/>
      <c r="K55" s="96"/>
      <c r="L55" s="96"/>
      <c r="M55" s="96"/>
      <c r="N55" s="96"/>
      <c r="O55" s="96"/>
      <c r="P55" s="96"/>
      <c r="Q55" s="96"/>
      <c r="R55" s="96"/>
      <c r="S55" s="96"/>
      <c r="T55" s="96"/>
      <c r="U55" s="95"/>
    </row>
    <row r="56" spans="2:21" ht="21" customHeight="1">
      <c r="B56" s="94" t="s">
        <v>527</v>
      </c>
      <c r="C56" s="96"/>
      <c r="D56" s="96"/>
      <c r="E56" s="96"/>
      <c r="F56" s="96"/>
      <c r="G56" s="96"/>
      <c r="H56" s="96"/>
      <c r="I56" s="96"/>
      <c r="J56" s="96"/>
      <c r="K56" s="96"/>
      <c r="L56" s="96"/>
      <c r="M56" s="96"/>
      <c r="N56" s="96"/>
      <c r="O56" s="96"/>
      <c r="P56" s="96"/>
      <c r="Q56" s="96"/>
      <c r="R56" s="96"/>
      <c r="S56" s="96"/>
      <c r="T56" s="96"/>
      <c r="U56" s="95"/>
    </row>
    <row r="57" spans="2:21" ht="41.45" customHeight="1">
      <c r="B57" s="94" t="s">
        <v>528</v>
      </c>
      <c r="C57" s="96"/>
      <c r="D57" s="96"/>
      <c r="E57" s="96"/>
      <c r="F57" s="96"/>
      <c r="G57" s="96"/>
      <c r="H57" s="96"/>
      <c r="I57" s="96"/>
      <c r="J57" s="96"/>
      <c r="K57" s="96"/>
      <c r="L57" s="96"/>
      <c r="M57" s="96"/>
      <c r="N57" s="96"/>
      <c r="O57" s="96"/>
      <c r="P57" s="96"/>
      <c r="Q57" s="96"/>
      <c r="R57" s="96"/>
      <c r="S57" s="96"/>
      <c r="T57" s="96"/>
      <c r="U57" s="95"/>
    </row>
    <row r="58" spans="2:21" ht="42.2" customHeight="1">
      <c r="B58" s="94" t="s">
        <v>529</v>
      </c>
      <c r="C58" s="96"/>
      <c r="D58" s="96"/>
      <c r="E58" s="96"/>
      <c r="F58" s="96"/>
      <c r="G58" s="96"/>
      <c r="H58" s="96"/>
      <c r="I58" s="96"/>
      <c r="J58" s="96"/>
      <c r="K58" s="96"/>
      <c r="L58" s="96"/>
      <c r="M58" s="96"/>
      <c r="N58" s="96"/>
      <c r="O58" s="96"/>
      <c r="P58" s="96"/>
      <c r="Q58" s="96"/>
      <c r="R58" s="96"/>
      <c r="S58" s="96"/>
      <c r="T58" s="96"/>
      <c r="U58" s="95"/>
    </row>
    <row r="59" spans="2:21" ht="55.35" customHeight="1">
      <c r="B59" s="94" t="s">
        <v>530</v>
      </c>
      <c r="C59" s="96"/>
      <c r="D59" s="96"/>
      <c r="E59" s="96"/>
      <c r="F59" s="96"/>
      <c r="G59" s="96"/>
      <c r="H59" s="96"/>
      <c r="I59" s="96"/>
      <c r="J59" s="96"/>
      <c r="K59" s="96"/>
      <c r="L59" s="96"/>
      <c r="M59" s="96"/>
      <c r="N59" s="96"/>
      <c r="O59" s="96"/>
      <c r="P59" s="96"/>
      <c r="Q59" s="96"/>
      <c r="R59" s="96"/>
      <c r="S59" s="96"/>
      <c r="T59" s="96"/>
      <c r="U59" s="95"/>
    </row>
    <row r="60" spans="2:21" ht="96.2" customHeight="1">
      <c r="B60" s="94" t="s">
        <v>531</v>
      </c>
      <c r="C60" s="96"/>
      <c r="D60" s="96"/>
      <c r="E60" s="96"/>
      <c r="F60" s="96"/>
      <c r="G60" s="96"/>
      <c r="H60" s="96"/>
      <c r="I60" s="96"/>
      <c r="J60" s="96"/>
      <c r="K60" s="96"/>
      <c r="L60" s="96"/>
      <c r="M60" s="96"/>
      <c r="N60" s="96"/>
      <c r="O60" s="96"/>
      <c r="P60" s="96"/>
      <c r="Q60" s="96"/>
      <c r="R60" s="96"/>
      <c r="S60" s="96"/>
      <c r="T60" s="96"/>
      <c r="U60" s="95"/>
    </row>
    <row r="61" spans="2:21" ht="34.5" customHeight="1">
      <c r="B61" s="94" t="s">
        <v>532</v>
      </c>
      <c r="C61" s="96"/>
      <c r="D61" s="96"/>
      <c r="E61" s="96"/>
      <c r="F61" s="96"/>
      <c r="G61" s="96"/>
      <c r="H61" s="96"/>
      <c r="I61" s="96"/>
      <c r="J61" s="96"/>
      <c r="K61" s="96"/>
      <c r="L61" s="96"/>
      <c r="M61" s="96"/>
      <c r="N61" s="96"/>
      <c r="O61" s="96"/>
      <c r="P61" s="96"/>
      <c r="Q61" s="96"/>
      <c r="R61" s="96"/>
      <c r="S61" s="96"/>
      <c r="T61" s="96"/>
      <c r="U61" s="95"/>
    </row>
    <row r="62" spans="2:21" ht="47.85" customHeight="1">
      <c r="B62" s="94" t="s">
        <v>533</v>
      </c>
      <c r="C62" s="96"/>
      <c r="D62" s="96"/>
      <c r="E62" s="96"/>
      <c r="F62" s="96"/>
      <c r="G62" s="96"/>
      <c r="H62" s="96"/>
      <c r="I62" s="96"/>
      <c r="J62" s="96"/>
      <c r="K62" s="96"/>
      <c r="L62" s="96"/>
      <c r="M62" s="96"/>
      <c r="N62" s="96"/>
      <c r="O62" s="96"/>
      <c r="P62" s="96"/>
      <c r="Q62" s="96"/>
      <c r="R62" s="96"/>
      <c r="S62" s="96"/>
      <c r="T62" s="96"/>
      <c r="U62" s="95"/>
    </row>
    <row r="63" spans="2:21" ht="34.5" customHeight="1">
      <c r="B63" s="94" t="s">
        <v>534</v>
      </c>
      <c r="C63" s="96"/>
      <c r="D63" s="96"/>
      <c r="E63" s="96"/>
      <c r="F63" s="96"/>
      <c r="G63" s="96"/>
      <c r="H63" s="96"/>
      <c r="I63" s="96"/>
      <c r="J63" s="96"/>
      <c r="K63" s="96"/>
      <c r="L63" s="96"/>
      <c r="M63" s="96"/>
      <c r="N63" s="96"/>
      <c r="O63" s="96"/>
      <c r="P63" s="96"/>
      <c r="Q63" s="96"/>
      <c r="R63" s="96"/>
      <c r="S63" s="96"/>
      <c r="T63" s="96"/>
      <c r="U63" s="95"/>
    </row>
    <row r="64" spans="2:21" ht="47.25" customHeight="1">
      <c r="B64" s="94" t="s">
        <v>535</v>
      </c>
      <c r="C64" s="96"/>
      <c r="D64" s="96"/>
      <c r="E64" s="96"/>
      <c r="F64" s="96"/>
      <c r="G64" s="96"/>
      <c r="H64" s="96"/>
      <c r="I64" s="96"/>
      <c r="J64" s="96"/>
      <c r="K64" s="96"/>
      <c r="L64" s="96"/>
      <c r="M64" s="96"/>
      <c r="N64" s="96"/>
      <c r="O64" s="96"/>
      <c r="P64" s="96"/>
      <c r="Q64" s="96"/>
      <c r="R64" s="96"/>
      <c r="S64" s="96"/>
      <c r="T64" s="96"/>
      <c r="U64" s="95"/>
    </row>
    <row r="65" spans="2:21" ht="48" customHeight="1">
      <c r="B65" s="94" t="s">
        <v>536</v>
      </c>
      <c r="C65" s="96"/>
      <c r="D65" s="96"/>
      <c r="E65" s="96"/>
      <c r="F65" s="96"/>
      <c r="G65" s="96"/>
      <c r="H65" s="96"/>
      <c r="I65" s="96"/>
      <c r="J65" s="96"/>
      <c r="K65" s="96"/>
      <c r="L65" s="96"/>
      <c r="M65" s="96"/>
      <c r="N65" s="96"/>
      <c r="O65" s="96"/>
      <c r="P65" s="96"/>
      <c r="Q65" s="96"/>
      <c r="R65" s="96"/>
      <c r="S65" s="96"/>
      <c r="T65" s="96"/>
      <c r="U65" s="95"/>
    </row>
    <row r="66" spans="2:21" ht="102.2" customHeight="1">
      <c r="B66" s="94" t="s">
        <v>537</v>
      </c>
      <c r="C66" s="96"/>
      <c r="D66" s="96"/>
      <c r="E66" s="96"/>
      <c r="F66" s="96"/>
      <c r="G66" s="96"/>
      <c r="H66" s="96"/>
      <c r="I66" s="96"/>
      <c r="J66" s="96"/>
      <c r="K66" s="96"/>
      <c r="L66" s="96"/>
      <c r="M66" s="96"/>
      <c r="N66" s="96"/>
      <c r="O66" s="96"/>
      <c r="P66" s="96"/>
      <c r="Q66" s="96"/>
      <c r="R66" s="96"/>
      <c r="S66" s="96"/>
      <c r="T66" s="96"/>
      <c r="U66" s="95"/>
    </row>
    <row r="67" spans="2:21" ht="100.35" customHeight="1" thickBot="1">
      <c r="B67" s="97" t="s">
        <v>538</v>
      </c>
      <c r="C67" s="99"/>
      <c r="D67" s="99"/>
      <c r="E67" s="99"/>
      <c r="F67" s="99"/>
      <c r="G67" s="99"/>
      <c r="H67" s="99"/>
      <c r="I67" s="99"/>
      <c r="J67" s="99"/>
      <c r="K67" s="99"/>
      <c r="L67" s="99"/>
      <c r="M67" s="99"/>
      <c r="N67" s="99"/>
      <c r="O67" s="99"/>
      <c r="P67" s="99"/>
      <c r="Q67" s="99"/>
      <c r="R67" s="99"/>
      <c r="S67" s="99"/>
      <c r="T67" s="99"/>
      <c r="U67" s="98"/>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1" sqref="B1:L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539</v>
      </c>
      <c r="D4" s="15" t="s">
        <v>540</v>
      </c>
      <c r="E4" s="15"/>
      <c r="F4" s="15"/>
      <c r="G4" s="15"/>
      <c r="H4" s="15"/>
      <c r="I4" s="16"/>
      <c r="J4" s="17" t="s">
        <v>6</v>
      </c>
      <c r="K4" s="18" t="s">
        <v>7</v>
      </c>
      <c r="L4" s="19" t="s">
        <v>8</v>
      </c>
      <c r="M4" s="19"/>
      <c r="N4" s="19"/>
      <c r="O4" s="19"/>
      <c r="P4" s="17" t="s">
        <v>9</v>
      </c>
      <c r="Q4" s="19" t="s">
        <v>541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292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542</v>
      </c>
      <c r="D11" s="58"/>
      <c r="E11" s="58"/>
      <c r="F11" s="58"/>
      <c r="G11" s="58"/>
      <c r="H11" s="58"/>
      <c r="I11" s="58" t="s">
        <v>1294</v>
      </c>
      <c r="J11" s="58"/>
      <c r="K11" s="58"/>
      <c r="L11" s="58" t="s">
        <v>44</v>
      </c>
      <c r="M11" s="58"/>
      <c r="N11" s="58"/>
      <c r="O11" s="58"/>
      <c r="P11" s="59" t="s">
        <v>45</v>
      </c>
      <c r="Q11" s="59" t="s">
        <v>41</v>
      </c>
      <c r="R11" s="100">
        <v>62944</v>
      </c>
      <c r="S11" s="100" t="s">
        <v>42</v>
      </c>
      <c r="T11" s="100" t="s">
        <v>42</v>
      </c>
      <c r="U11" s="60" t="str">
        <f t="shared" ref="U11:U23" si="0">IF(ISERR(T11/S11*100),"N/A",T11/S11*100)</f>
        <v>N/A</v>
      </c>
    </row>
    <row r="12" spans="1:34" ht="75" customHeight="1" thickTop="1" thickBot="1">
      <c r="A12" s="56"/>
      <c r="B12" s="57" t="s">
        <v>46</v>
      </c>
      <c r="C12" s="58" t="s">
        <v>543</v>
      </c>
      <c r="D12" s="58"/>
      <c r="E12" s="58"/>
      <c r="F12" s="58"/>
      <c r="G12" s="58"/>
      <c r="H12" s="58"/>
      <c r="I12" s="58" t="s">
        <v>544</v>
      </c>
      <c r="J12" s="58"/>
      <c r="K12" s="58"/>
      <c r="L12" s="58" t="s">
        <v>545</v>
      </c>
      <c r="M12" s="58"/>
      <c r="N12" s="58"/>
      <c r="O12" s="58"/>
      <c r="P12" s="59" t="s">
        <v>40</v>
      </c>
      <c r="Q12" s="59" t="s">
        <v>41</v>
      </c>
      <c r="R12" s="59">
        <v>95.48</v>
      </c>
      <c r="S12" s="59" t="s">
        <v>42</v>
      </c>
      <c r="T12" s="59" t="s">
        <v>42</v>
      </c>
      <c r="U12" s="60" t="str">
        <f t="shared" si="0"/>
        <v>N/A</v>
      </c>
    </row>
    <row r="13" spans="1:34" ht="75" customHeight="1" thickTop="1">
      <c r="A13" s="56"/>
      <c r="B13" s="57" t="s">
        <v>51</v>
      </c>
      <c r="C13" s="58" t="s">
        <v>546</v>
      </c>
      <c r="D13" s="58"/>
      <c r="E13" s="58"/>
      <c r="F13" s="58"/>
      <c r="G13" s="58"/>
      <c r="H13" s="58"/>
      <c r="I13" s="58" t="s">
        <v>547</v>
      </c>
      <c r="J13" s="58"/>
      <c r="K13" s="58"/>
      <c r="L13" s="58" t="s">
        <v>548</v>
      </c>
      <c r="M13" s="58"/>
      <c r="N13" s="58"/>
      <c r="O13" s="58"/>
      <c r="P13" s="59" t="s">
        <v>40</v>
      </c>
      <c r="Q13" s="59" t="s">
        <v>93</v>
      </c>
      <c r="R13" s="59">
        <v>58.61</v>
      </c>
      <c r="S13" s="59">
        <v>0</v>
      </c>
      <c r="T13" s="59">
        <v>84.24</v>
      </c>
      <c r="U13" s="60" t="str">
        <f t="shared" si="0"/>
        <v>N/A</v>
      </c>
    </row>
    <row r="14" spans="1:34" ht="75" customHeight="1">
      <c r="A14" s="56"/>
      <c r="B14" s="61" t="s">
        <v>43</v>
      </c>
      <c r="C14" s="62" t="s">
        <v>549</v>
      </c>
      <c r="D14" s="62"/>
      <c r="E14" s="62"/>
      <c r="F14" s="62"/>
      <c r="G14" s="62"/>
      <c r="H14" s="62"/>
      <c r="I14" s="62" t="s">
        <v>550</v>
      </c>
      <c r="J14" s="62"/>
      <c r="K14" s="62"/>
      <c r="L14" s="62" t="s">
        <v>551</v>
      </c>
      <c r="M14" s="62"/>
      <c r="N14" s="62"/>
      <c r="O14" s="62"/>
      <c r="P14" s="63" t="s">
        <v>40</v>
      </c>
      <c r="Q14" s="63" t="s">
        <v>93</v>
      </c>
      <c r="R14" s="63">
        <v>38.94</v>
      </c>
      <c r="S14" s="63">
        <v>0</v>
      </c>
      <c r="T14" s="63">
        <v>43.87</v>
      </c>
      <c r="U14" s="65" t="str">
        <f t="shared" si="0"/>
        <v>N/A</v>
      </c>
    </row>
    <row r="15" spans="1:34" ht="75" customHeight="1">
      <c r="A15" s="56"/>
      <c r="B15" s="61" t="s">
        <v>43</v>
      </c>
      <c r="C15" s="62" t="s">
        <v>552</v>
      </c>
      <c r="D15" s="62"/>
      <c r="E15" s="62"/>
      <c r="F15" s="62"/>
      <c r="G15" s="62"/>
      <c r="H15" s="62"/>
      <c r="I15" s="62" t="s">
        <v>553</v>
      </c>
      <c r="J15" s="62"/>
      <c r="K15" s="62"/>
      <c r="L15" s="62" t="s">
        <v>554</v>
      </c>
      <c r="M15" s="62"/>
      <c r="N15" s="62"/>
      <c r="O15" s="62"/>
      <c r="P15" s="63" t="s">
        <v>40</v>
      </c>
      <c r="Q15" s="63" t="s">
        <v>41</v>
      </c>
      <c r="R15" s="63">
        <v>78.95</v>
      </c>
      <c r="S15" s="63" t="s">
        <v>42</v>
      </c>
      <c r="T15" s="63" t="s">
        <v>42</v>
      </c>
      <c r="U15" s="65" t="str">
        <f t="shared" si="0"/>
        <v>N/A</v>
      </c>
    </row>
    <row r="16" spans="1:34" ht="75" customHeight="1">
      <c r="A16" s="56"/>
      <c r="B16" s="61" t="s">
        <v>43</v>
      </c>
      <c r="C16" s="62" t="s">
        <v>555</v>
      </c>
      <c r="D16" s="62"/>
      <c r="E16" s="62"/>
      <c r="F16" s="62"/>
      <c r="G16" s="62"/>
      <c r="H16" s="62"/>
      <c r="I16" s="62" t="s">
        <v>556</v>
      </c>
      <c r="J16" s="62"/>
      <c r="K16" s="62"/>
      <c r="L16" s="62" t="s">
        <v>557</v>
      </c>
      <c r="M16" s="62"/>
      <c r="N16" s="62"/>
      <c r="O16" s="62"/>
      <c r="P16" s="63" t="s">
        <v>40</v>
      </c>
      <c r="Q16" s="63" t="s">
        <v>93</v>
      </c>
      <c r="R16" s="63">
        <v>100</v>
      </c>
      <c r="S16" s="63">
        <v>100</v>
      </c>
      <c r="T16" s="63">
        <v>100</v>
      </c>
      <c r="U16" s="65">
        <f t="shared" si="0"/>
        <v>100</v>
      </c>
    </row>
    <row r="17" spans="1:22" ht="75" customHeight="1">
      <c r="A17" s="56"/>
      <c r="B17" s="61" t="s">
        <v>43</v>
      </c>
      <c r="C17" s="62" t="s">
        <v>43</v>
      </c>
      <c r="D17" s="62"/>
      <c r="E17" s="62"/>
      <c r="F17" s="62"/>
      <c r="G17" s="62"/>
      <c r="H17" s="62"/>
      <c r="I17" s="62" t="s">
        <v>558</v>
      </c>
      <c r="J17" s="62"/>
      <c r="K17" s="62"/>
      <c r="L17" s="62" t="s">
        <v>559</v>
      </c>
      <c r="M17" s="62"/>
      <c r="N17" s="62"/>
      <c r="O17" s="62"/>
      <c r="P17" s="63" t="s">
        <v>40</v>
      </c>
      <c r="Q17" s="63" t="s">
        <v>93</v>
      </c>
      <c r="R17" s="63">
        <v>87</v>
      </c>
      <c r="S17" s="63">
        <v>94.63</v>
      </c>
      <c r="T17" s="63">
        <v>95.79</v>
      </c>
      <c r="U17" s="65">
        <f t="shared" si="0"/>
        <v>101.22582690478707</v>
      </c>
    </row>
    <row r="18" spans="1:22" ht="75" customHeight="1" thickBot="1">
      <c r="A18" s="56"/>
      <c r="B18" s="61" t="s">
        <v>43</v>
      </c>
      <c r="C18" s="62" t="s">
        <v>560</v>
      </c>
      <c r="D18" s="62"/>
      <c r="E18" s="62"/>
      <c r="F18" s="62"/>
      <c r="G18" s="62"/>
      <c r="H18" s="62"/>
      <c r="I18" s="62" t="s">
        <v>561</v>
      </c>
      <c r="J18" s="62"/>
      <c r="K18" s="62"/>
      <c r="L18" s="62" t="s">
        <v>562</v>
      </c>
      <c r="M18" s="62"/>
      <c r="N18" s="62"/>
      <c r="O18" s="62"/>
      <c r="P18" s="63" t="s">
        <v>40</v>
      </c>
      <c r="Q18" s="63" t="s">
        <v>93</v>
      </c>
      <c r="R18" s="63">
        <v>40.1</v>
      </c>
      <c r="S18" s="63">
        <v>0</v>
      </c>
      <c r="T18" s="63">
        <v>59.48</v>
      </c>
      <c r="U18" s="65" t="str">
        <f t="shared" si="0"/>
        <v>N/A</v>
      </c>
    </row>
    <row r="19" spans="1:22" ht="75" customHeight="1" thickTop="1">
      <c r="A19" s="56"/>
      <c r="B19" s="57" t="s">
        <v>56</v>
      </c>
      <c r="C19" s="58" t="s">
        <v>563</v>
      </c>
      <c r="D19" s="58"/>
      <c r="E19" s="58"/>
      <c r="F19" s="58"/>
      <c r="G19" s="58"/>
      <c r="H19" s="58"/>
      <c r="I19" s="58" t="s">
        <v>564</v>
      </c>
      <c r="J19" s="58"/>
      <c r="K19" s="58"/>
      <c r="L19" s="58" t="s">
        <v>565</v>
      </c>
      <c r="M19" s="58"/>
      <c r="N19" s="58"/>
      <c r="O19" s="58"/>
      <c r="P19" s="59" t="s">
        <v>40</v>
      </c>
      <c r="Q19" s="59" t="s">
        <v>116</v>
      </c>
      <c r="R19" s="59">
        <v>26.81</v>
      </c>
      <c r="S19" s="59">
        <v>0</v>
      </c>
      <c r="T19" s="59">
        <v>7.38</v>
      </c>
      <c r="U19" s="60" t="str">
        <f t="shared" si="0"/>
        <v>N/A</v>
      </c>
    </row>
    <row r="20" spans="1:22" ht="75" customHeight="1">
      <c r="A20" s="56"/>
      <c r="B20" s="61" t="s">
        <v>43</v>
      </c>
      <c r="C20" s="62" t="s">
        <v>566</v>
      </c>
      <c r="D20" s="62"/>
      <c r="E20" s="62"/>
      <c r="F20" s="62"/>
      <c r="G20" s="62"/>
      <c r="H20" s="62"/>
      <c r="I20" s="62" t="s">
        <v>567</v>
      </c>
      <c r="J20" s="62"/>
      <c r="K20" s="62"/>
      <c r="L20" s="62" t="s">
        <v>568</v>
      </c>
      <c r="M20" s="62"/>
      <c r="N20" s="62"/>
      <c r="O20" s="62"/>
      <c r="P20" s="63" t="s">
        <v>40</v>
      </c>
      <c r="Q20" s="63" t="s">
        <v>116</v>
      </c>
      <c r="R20" s="63">
        <v>89.36</v>
      </c>
      <c r="S20" s="63">
        <v>87.73</v>
      </c>
      <c r="T20" s="63">
        <v>88.47</v>
      </c>
      <c r="U20" s="65">
        <f t="shared" si="0"/>
        <v>100.8434970933546</v>
      </c>
    </row>
    <row r="21" spans="1:22" ht="75" customHeight="1">
      <c r="A21" s="56"/>
      <c r="B21" s="61" t="s">
        <v>43</v>
      </c>
      <c r="C21" s="62" t="s">
        <v>569</v>
      </c>
      <c r="D21" s="62"/>
      <c r="E21" s="62"/>
      <c r="F21" s="62"/>
      <c r="G21" s="62"/>
      <c r="H21" s="62"/>
      <c r="I21" s="62" t="s">
        <v>570</v>
      </c>
      <c r="J21" s="62"/>
      <c r="K21" s="62"/>
      <c r="L21" s="62" t="s">
        <v>571</v>
      </c>
      <c r="M21" s="62"/>
      <c r="N21" s="62"/>
      <c r="O21" s="62"/>
      <c r="P21" s="63" t="s">
        <v>40</v>
      </c>
      <c r="Q21" s="63" t="s">
        <v>106</v>
      </c>
      <c r="R21" s="63">
        <v>73.08</v>
      </c>
      <c r="S21" s="63" t="s">
        <v>42</v>
      </c>
      <c r="T21" s="63" t="s">
        <v>42</v>
      </c>
      <c r="U21" s="65" t="str">
        <f t="shared" si="0"/>
        <v>N/A</v>
      </c>
    </row>
    <row r="22" spans="1:22" ht="75" customHeight="1">
      <c r="A22" s="56"/>
      <c r="B22" s="61" t="s">
        <v>43</v>
      </c>
      <c r="C22" s="62" t="s">
        <v>572</v>
      </c>
      <c r="D22" s="62"/>
      <c r="E22" s="62"/>
      <c r="F22" s="62"/>
      <c r="G22" s="62"/>
      <c r="H22" s="62"/>
      <c r="I22" s="62" t="s">
        <v>573</v>
      </c>
      <c r="J22" s="62"/>
      <c r="K22" s="62"/>
      <c r="L22" s="62" t="s">
        <v>574</v>
      </c>
      <c r="M22" s="62"/>
      <c r="N22" s="62"/>
      <c r="O22" s="62"/>
      <c r="P22" s="63" t="s">
        <v>40</v>
      </c>
      <c r="Q22" s="63" t="s">
        <v>116</v>
      </c>
      <c r="R22" s="63">
        <v>63.45</v>
      </c>
      <c r="S22" s="63">
        <v>0</v>
      </c>
      <c r="T22" s="63">
        <v>38.33</v>
      </c>
      <c r="U22" s="65" t="str">
        <f t="shared" si="0"/>
        <v>N/A</v>
      </c>
    </row>
    <row r="23" spans="1:22" ht="75" customHeight="1" thickBot="1">
      <c r="A23" s="56"/>
      <c r="B23" s="61" t="s">
        <v>43</v>
      </c>
      <c r="C23" s="62" t="s">
        <v>575</v>
      </c>
      <c r="D23" s="62"/>
      <c r="E23" s="62"/>
      <c r="F23" s="62"/>
      <c r="G23" s="62"/>
      <c r="H23" s="62"/>
      <c r="I23" s="62" t="s">
        <v>576</v>
      </c>
      <c r="J23" s="62"/>
      <c r="K23" s="62"/>
      <c r="L23" s="62" t="s">
        <v>577</v>
      </c>
      <c r="M23" s="62"/>
      <c r="N23" s="62"/>
      <c r="O23" s="62"/>
      <c r="P23" s="63" t="s">
        <v>40</v>
      </c>
      <c r="Q23" s="63" t="s">
        <v>116</v>
      </c>
      <c r="R23" s="63">
        <v>70.09</v>
      </c>
      <c r="S23" s="63">
        <v>0</v>
      </c>
      <c r="T23" s="63">
        <v>32.82</v>
      </c>
      <c r="U23" s="65" t="str">
        <f t="shared" si="0"/>
        <v>N/A</v>
      </c>
    </row>
    <row r="24" spans="1:22" ht="22.5" customHeight="1" thickTop="1" thickBot="1">
      <c r="B24" s="9" t="s">
        <v>61</v>
      </c>
      <c r="C24" s="10"/>
      <c r="D24" s="10"/>
      <c r="E24" s="10"/>
      <c r="F24" s="10"/>
      <c r="G24" s="10"/>
      <c r="H24" s="11"/>
      <c r="I24" s="11"/>
      <c r="J24" s="11"/>
      <c r="K24" s="11"/>
      <c r="L24" s="11"/>
      <c r="M24" s="11"/>
      <c r="N24" s="11"/>
      <c r="O24" s="11"/>
      <c r="P24" s="11"/>
      <c r="Q24" s="11"/>
      <c r="R24" s="11"/>
      <c r="S24" s="11"/>
      <c r="T24" s="11"/>
      <c r="U24" s="12"/>
      <c r="V24" s="66"/>
    </row>
    <row r="25" spans="1:22" ht="26.25" customHeight="1" thickTop="1">
      <c r="B25" s="67"/>
      <c r="C25" s="68"/>
      <c r="D25" s="68"/>
      <c r="E25" s="68"/>
      <c r="F25" s="68"/>
      <c r="G25" s="68"/>
      <c r="H25" s="69"/>
      <c r="I25" s="69"/>
      <c r="J25" s="69"/>
      <c r="K25" s="69"/>
      <c r="L25" s="69"/>
      <c r="M25" s="69"/>
      <c r="N25" s="69"/>
      <c r="O25" s="69"/>
      <c r="P25" s="70"/>
      <c r="Q25" s="71"/>
      <c r="R25" s="72" t="s">
        <v>62</v>
      </c>
      <c r="S25" s="40" t="s">
        <v>63</v>
      </c>
      <c r="T25" s="72" t="s">
        <v>64</v>
      </c>
      <c r="U25" s="40" t="s">
        <v>65</v>
      </c>
    </row>
    <row r="26" spans="1:22" ht="26.25" customHeight="1" thickBot="1">
      <c r="B26" s="73"/>
      <c r="C26" s="74"/>
      <c r="D26" s="74"/>
      <c r="E26" s="74"/>
      <c r="F26" s="74"/>
      <c r="G26" s="74"/>
      <c r="H26" s="75"/>
      <c r="I26" s="75"/>
      <c r="J26" s="75"/>
      <c r="K26" s="75"/>
      <c r="L26" s="75"/>
      <c r="M26" s="75"/>
      <c r="N26" s="75"/>
      <c r="O26" s="75"/>
      <c r="P26" s="76"/>
      <c r="Q26" s="77"/>
      <c r="R26" s="78" t="s">
        <v>66</v>
      </c>
      <c r="S26" s="77" t="s">
        <v>66</v>
      </c>
      <c r="T26" s="77" t="s">
        <v>66</v>
      </c>
      <c r="U26" s="77" t="s">
        <v>67</v>
      </c>
    </row>
    <row r="27" spans="1:22" ht="13.5" customHeight="1" thickBot="1">
      <c r="B27" s="79" t="s">
        <v>68</v>
      </c>
      <c r="C27" s="80"/>
      <c r="D27" s="80"/>
      <c r="E27" s="81"/>
      <c r="F27" s="81"/>
      <c r="G27" s="81"/>
      <c r="H27" s="82"/>
      <c r="I27" s="82"/>
      <c r="J27" s="82"/>
      <c r="K27" s="82"/>
      <c r="L27" s="82"/>
      <c r="M27" s="82"/>
      <c r="N27" s="82"/>
      <c r="O27" s="82"/>
      <c r="P27" s="83"/>
      <c r="Q27" s="83"/>
      <c r="R27" s="84">
        <f>3123.149956</f>
        <v>3123.1499560000002</v>
      </c>
      <c r="S27" s="84">
        <f>3123.149956</f>
        <v>3123.1499560000002</v>
      </c>
      <c r="T27" s="84">
        <f>2876.45355596</f>
        <v>2876.4535559599999</v>
      </c>
      <c r="U27" s="85">
        <f>+IF(ISERR(T27/S27*100),"N/A",T27/S27*100)</f>
        <v>92.10103890253292</v>
      </c>
    </row>
    <row r="28" spans="1:22" ht="13.5" customHeight="1" thickBot="1">
      <c r="B28" s="86" t="s">
        <v>69</v>
      </c>
      <c r="C28" s="87"/>
      <c r="D28" s="87"/>
      <c r="E28" s="88"/>
      <c r="F28" s="88"/>
      <c r="G28" s="88"/>
      <c r="H28" s="89"/>
      <c r="I28" s="89"/>
      <c r="J28" s="89"/>
      <c r="K28" s="89"/>
      <c r="L28" s="89"/>
      <c r="M28" s="89"/>
      <c r="N28" s="89"/>
      <c r="O28" s="89"/>
      <c r="P28" s="90"/>
      <c r="Q28" s="90"/>
      <c r="R28" s="84">
        <f>3011.21980245</f>
        <v>3011.2198024499999</v>
      </c>
      <c r="S28" s="84">
        <f>3009.22025135</f>
        <v>3009.2202513500001</v>
      </c>
      <c r="T28" s="84">
        <f>2876.45355596</f>
        <v>2876.4535559599999</v>
      </c>
      <c r="U28" s="85">
        <f>+IF(ISERR(T28/S28*100),"N/A",T28/S28*100)</f>
        <v>95.588003392890954</v>
      </c>
    </row>
    <row r="29" spans="1:22" ht="14.85" customHeight="1" thickTop="1" thickBot="1">
      <c r="B29" s="9" t="s">
        <v>70</v>
      </c>
      <c r="C29" s="10"/>
      <c r="D29" s="10"/>
      <c r="E29" s="10"/>
      <c r="F29" s="10"/>
      <c r="G29" s="10"/>
      <c r="H29" s="11"/>
      <c r="I29" s="11"/>
      <c r="J29" s="11"/>
      <c r="K29" s="11"/>
      <c r="L29" s="11"/>
      <c r="M29" s="11"/>
      <c r="N29" s="11"/>
      <c r="O29" s="11"/>
      <c r="P29" s="11"/>
      <c r="Q29" s="11"/>
      <c r="R29" s="11"/>
      <c r="S29" s="11"/>
      <c r="T29" s="11"/>
      <c r="U29" s="12"/>
    </row>
    <row r="30" spans="1:22" ht="44.25" customHeight="1" thickTop="1">
      <c r="B30" s="91" t="s">
        <v>71</v>
      </c>
      <c r="C30" s="93"/>
      <c r="D30" s="93"/>
      <c r="E30" s="93"/>
      <c r="F30" s="93"/>
      <c r="G30" s="93"/>
      <c r="H30" s="93"/>
      <c r="I30" s="93"/>
      <c r="J30" s="93"/>
      <c r="K30" s="93"/>
      <c r="L30" s="93"/>
      <c r="M30" s="93"/>
      <c r="N30" s="93"/>
      <c r="O30" s="93"/>
      <c r="P30" s="93"/>
      <c r="Q30" s="93"/>
      <c r="R30" s="93"/>
      <c r="S30" s="93"/>
      <c r="T30" s="93"/>
      <c r="U30" s="92"/>
    </row>
    <row r="31" spans="1:22" ht="34.5" customHeight="1">
      <c r="B31" s="94" t="s">
        <v>73</v>
      </c>
      <c r="C31" s="96"/>
      <c r="D31" s="96"/>
      <c r="E31" s="96"/>
      <c r="F31" s="96"/>
      <c r="G31" s="96"/>
      <c r="H31" s="96"/>
      <c r="I31" s="96"/>
      <c r="J31" s="96"/>
      <c r="K31" s="96"/>
      <c r="L31" s="96"/>
      <c r="M31" s="96"/>
      <c r="N31" s="96"/>
      <c r="O31" s="96"/>
      <c r="P31" s="96"/>
      <c r="Q31" s="96"/>
      <c r="R31" s="96"/>
      <c r="S31" s="96"/>
      <c r="T31" s="96"/>
      <c r="U31" s="95"/>
    </row>
    <row r="32" spans="1:22" ht="34.5" customHeight="1">
      <c r="B32" s="94" t="s">
        <v>578</v>
      </c>
      <c r="C32" s="96"/>
      <c r="D32" s="96"/>
      <c r="E32" s="96"/>
      <c r="F32" s="96"/>
      <c r="G32" s="96"/>
      <c r="H32" s="96"/>
      <c r="I32" s="96"/>
      <c r="J32" s="96"/>
      <c r="K32" s="96"/>
      <c r="L32" s="96"/>
      <c r="M32" s="96"/>
      <c r="N32" s="96"/>
      <c r="O32" s="96"/>
      <c r="P32" s="96"/>
      <c r="Q32" s="96"/>
      <c r="R32" s="96"/>
      <c r="S32" s="96"/>
      <c r="T32" s="96"/>
      <c r="U32" s="95"/>
    </row>
    <row r="33" spans="2:21" ht="69" customHeight="1">
      <c r="B33" s="94" t="s">
        <v>579</v>
      </c>
      <c r="C33" s="96"/>
      <c r="D33" s="96"/>
      <c r="E33" s="96"/>
      <c r="F33" s="96"/>
      <c r="G33" s="96"/>
      <c r="H33" s="96"/>
      <c r="I33" s="96"/>
      <c r="J33" s="96"/>
      <c r="K33" s="96"/>
      <c r="L33" s="96"/>
      <c r="M33" s="96"/>
      <c r="N33" s="96"/>
      <c r="O33" s="96"/>
      <c r="P33" s="96"/>
      <c r="Q33" s="96"/>
      <c r="R33" s="96"/>
      <c r="S33" s="96"/>
      <c r="T33" s="96"/>
      <c r="U33" s="95"/>
    </row>
    <row r="34" spans="2:21" ht="70.7" customHeight="1">
      <c r="B34" s="94" t="s">
        <v>580</v>
      </c>
      <c r="C34" s="96"/>
      <c r="D34" s="96"/>
      <c r="E34" s="96"/>
      <c r="F34" s="96"/>
      <c r="G34" s="96"/>
      <c r="H34" s="96"/>
      <c r="I34" s="96"/>
      <c r="J34" s="96"/>
      <c r="K34" s="96"/>
      <c r="L34" s="96"/>
      <c r="M34" s="96"/>
      <c r="N34" s="96"/>
      <c r="O34" s="96"/>
      <c r="P34" s="96"/>
      <c r="Q34" s="96"/>
      <c r="R34" s="96"/>
      <c r="S34" s="96"/>
      <c r="T34" s="96"/>
      <c r="U34" s="95"/>
    </row>
    <row r="35" spans="2:21" ht="34.5" customHeight="1">
      <c r="B35" s="94" t="s">
        <v>581</v>
      </c>
      <c r="C35" s="96"/>
      <c r="D35" s="96"/>
      <c r="E35" s="96"/>
      <c r="F35" s="96"/>
      <c r="G35" s="96"/>
      <c r="H35" s="96"/>
      <c r="I35" s="96"/>
      <c r="J35" s="96"/>
      <c r="K35" s="96"/>
      <c r="L35" s="96"/>
      <c r="M35" s="96"/>
      <c r="N35" s="96"/>
      <c r="O35" s="96"/>
      <c r="P35" s="96"/>
      <c r="Q35" s="96"/>
      <c r="R35" s="96"/>
      <c r="S35" s="96"/>
      <c r="T35" s="96"/>
      <c r="U35" s="95"/>
    </row>
    <row r="36" spans="2:21" ht="17.850000000000001" customHeight="1">
      <c r="B36" s="94" t="s">
        <v>582</v>
      </c>
      <c r="C36" s="96"/>
      <c r="D36" s="96"/>
      <c r="E36" s="96"/>
      <c r="F36" s="96"/>
      <c r="G36" s="96"/>
      <c r="H36" s="96"/>
      <c r="I36" s="96"/>
      <c r="J36" s="96"/>
      <c r="K36" s="96"/>
      <c r="L36" s="96"/>
      <c r="M36" s="96"/>
      <c r="N36" s="96"/>
      <c r="O36" s="96"/>
      <c r="P36" s="96"/>
      <c r="Q36" s="96"/>
      <c r="R36" s="96"/>
      <c r="S36" s="96"/>
      <c r="T36" s="96"/>
      <c r="U36" s="95"/>
    </row>
    <row r="37" spans="2:21" ht="37.5" customHeight="1">
      <c r="B37" s="94" t="s">
        <v>583</v>
      </c>
      <c r="C37" s="96"/>
      <c r="D37" s="96"/>
      <c r="E37" s="96"/>
      <c r="F37" s="96"/>
      <c r="G37" s="96"/>
      <c r="H37" s="96"/>
      <c r="I37" s="96"/>
      <c r="J37" s="96"/>
      <c r="K37" s="96"/>
      <c r="L37" s="96"/>
      <c r="M37" s="96"/>
      <c r="N37" s="96"/>
      <c r="O37" s="96"/>
      <c r="P37" s="96"/>
      <c r="Q37" s="96"/>
      <c r="R37" s="96"/>
      <c r="S37" s="96"/>
      <c r="T37" s="96"/>
      <c r="U37" s="95"/>
    </row>
    <row r="38" spans="2:21" ht="72.95" customHeight="1">
      <c r="B38" s="94" t="s">
        <v>584</v>
      </c>
      <c r="C38" s="96"/>
      <c r="D38" s="96"/>
      <c r="E38" s="96"/>
      <c r="F38" s="96"/>
      <c r="G38" s="96"/>
      <c r="H38" s="96"/>
      <c r="I38" s="96"/>
      <c r="J38" s="96"/>
      <c r="K38" s="96"/>
      <c r="L38" s="96"/>
      <c r="M38" s="96"/>
      <c r="N38" s="96"/>
      <c r="O38" s="96"/>
      <c r="P38" s="96"/>
      <c r="Q38" s="96"/>
      <c r="R38" s="96"/>
      <c r="S38" s="96"/>
      <c r="T38" s="96"/>
      <c r="U38" s="95"/>
    </row>
    <row r="39" spans="2:21" ht="44.1" customHeight="1">
      <c r="B39" s="94" t="s">
        <v>585</v>
      </c>
      <c r="C39" s="96"/>
      <c r="D39" s="96"/>
      <c r="E39" s="96"/>
      <c r="F39" s="96"/>
      <c r="G39" s="96"/>
      <c r="H39" s="96"/>
      <c r="I39" s="96"/>
      <c r="J39" s="96"/>
      <c r="K39" s="96"/>
      <c r="L39" s="96"/>
      <c r="M39" s="96"/>
      <c r="N39" s="96"/>
      <c r="O39" s="96"/>
      <c r="P39" s="96"/>
      <c r="Q39" s="96"/>
      <c r="R39" s="96"/>
      <c r="S39" s="96"/>
      <c r="T39" s="96"/>
      <c r="U39" s="95"/>
    </row>
    <row r="40" spans="2:21" ht="26.45" customHeight="1">
      <c r="B40" s="94" t="s">
        <v>586</v>
      </c>
      <c r="C40" s="96"/>
      <c r="D40" s="96"/>
      <c r="E40" s="96"/>
      <c r="F40" s="96"/>
      <c r="G40" s="96"/>
      <c r="H40" s="96"/>
      <c r="I40" s="96"/>
      <c r="J40" s="96"/>
      <c r="K40" s="96"/>
      <c r="L40" s="96"/>
      <c r="M40" s="96"/>
      <c r="N40" s="96"/>
      <c r="O40" s="96"/>
      <c r="P40" s="96"/>
      <c r="Q40" s="96"/>
      <c r="R40" s="96"/>
      <c r="S40" s="96"/>
      <c r="T40" s="96"/>
      <c r="U40" s="95"/>
    </row>
    <row r="41" spans="2:21" ht="34.5" customHeight="1">
      <c r="B41" s="94" t="s">
        <v>587</v>
      </c>
      <c r="C41" s="96"/>
      <c r="D41" s="96"/>
      <c r="E41" s="96"/>
      <c r="F41" s="96"/>
      <c r="G41" s="96"/>
      <c r="H41" s="96"/>
      <c r="I41" s="96"/>
      <c r="J41" s="96"/>
      <c r="K41" s="96"/>
      <c r="L41" s="96"/>
      <c r="M41" s="96"/>
      <c r="N41" s="96"/>
      <c r="O41" s="96"/>
      <c r="P41" s="96"/>
      <c r="Q41" s="96"/>
      <c r="R41" s="96"/>
      <c r="S41" s="96"/>
      <c r="T41" s="96"/>
      <c r="U41" s="95"/>
    </row>
    <row r="42" spans="2:21" ht="44.1" customHeight="1">
      <c r="B42" s="94" t="s">
        <v>588</v>
      </c>
      <c r="C42" s="96"/>
      <c r="D42" s="96"/>
      <c r="E42" s="96"/>
      <c r="F42" s="96"/>
      <c r="G42" s="96"/>
      <c r="H42" s="96"/>
      <c r="I42" s="96"/>
      <c r="J42" s="96"/>
      <c r="K42" s="96"/>
      <c r="L42" s="96"/>
      <c r="M42" s="96"/>
      <c r="N42" s="96"/>
      <c r="O42" s="96"/>
      <c r="P42" s="96"/>
      <c r="Q42" s="96"/>
      <c r="R42" s="96"/>
      <c r="S42" s="96"/>
      <c r="T42" s="96"/>
      <c r="U42" s="95"/>
    </row>
    <row r="43" spans="2:21" ht="45.75" customHeight="1" thickBot="1">
      <c r="B43" s="97" t="s">
        <v>589</v>
      </c>
      <c r="C43" s="99"/>
      <c r="D43" s="99"/>
      <c r="E43" s="99"/>
      <c r="F43" s="99"/>
      <c r="G43" s="99"/>
      <c r="H43" s="99"/>
      <c r="I43" s="99"/>
      <c r="J43" s="99"/>
      <c r="K43" s="99"/>
      <c r="L43" s="99"/>
      <c r="M43" s="99"/>
      <c r="N43" s="99"/>
      <c r="O43" s="99"/>
      <c r="P43" s="99"/>
      <c r="Q43" s="99"/>
      <c r="R43" s="99"/>
      <c r="S43" s="99"/>
      <c r="T43" s="99"/>
      <c r="U43" s="98"/>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36</vt:i4>
      </vt:variant>
    </vt:vector>
  </HeadingPairs>
  <TitlesOfParts>
    <vt:vector size="54" baseType="lpstr">
      <vt:lpstr>8 B001</vt:lpstr>
      <vt:lpstr>8 E001</vt:lpstr>
      <vt:lpstr>8 E003</vt:lpstr>
      <vt:lpstr>8 E006</vt:lpstr>
      <vt:lpstr>8 P001</vt:lpstr>
      <vt:lpstr>8 S240</vt:lpstr>
      <vt:lpstr>8 S257</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2021-05-12T17:24:36Z</dcterms:modified>
</cp:coreProperties>
</file>